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oracle-my.sharepoint.com/personal/hiromi_otsuka_oracle_com/Documents/IR_Kessan/FY26Q3/tanshin/"/>
    </mc:Choice>
  </mc:AlternateContent>
  <xr:revisionPtr revIDLastSave="5" documentId="14_{47B31213-B956-4288-BCA8-D529E665A3E9}" xr6:coauthVersionLast="47" xr6:coauthVersionMax="47" xr10:uidLastSave="{754FD7C2-6325-469F-8D4F-A6BF11D83D18}"/>
  <workbookProtection workbookAlgorithmName="SHA-512" workbookHashValue="90xCUO9hzv4C6CPPhPxqZ65jrk0Y5YtqHUvDwK1auXSf2W5SMCVtVLlJFi2bWxDyl5XFJttrWy4yTgsbefMDhQ==" workbookSaltValue="bS8Y/cP2Ne3b9xj5KtR2hQ==" workbookSpinCount="100000" lockStructure="1"/>
  <bookViews>
    <workbookView xWindow="-98" yWindow="-98" windowWidth="19396" windowHeight="11475" tabRatio="858" xr2:uid="{00000000-000D-0000-FFFF-FFFF00000000}"/>
  </bookViews>
  <sheets>
    <sheet name="Cover" sheetId="43031" r:id="rId1"/>
    <sheet name="Segmental info &amp; Opex" sheetId="43034" r:id="rId2"/>
    <sheet name="Corporate_Overview" sheetId="196" r:id="rId3"/>
    <sheet name="Segmental info &amp; Opex (original" sheetId="43037" state="hidden" r:id="rId4"/>
    <sheet name="1.Rev YoY" sheetId="43032" state="hidden" r:id="rId5"/>
    <sheet name="2.Ope YoY" sheetId="43033" state="hidden" r:id="rId6"/>
    <sheet name="3.Summary" sheetId="43036" state="hidden" r:id="rId7"/>
    <sheet name="5.BS" sheetId="6" state="hidden" r:id="rId8"/>
  </sheets>
  <definedNames>
    <definedName name="_EPRCS_REPORT_PACKAGE_ID_" hidden="1">"d9f89ee4-e4fd-4a93-afe3-0161bf79945f"</definedName>
    <definedName name="_EPRCS_RP_DOCLET_ID_" hidden="1">"842a149c-2abd-4ed3-ae6d-7ceecab3ba3c"</definedName>
    <definedName name="_EPRCS_VU_01e02dd8_4a66_4847_b072_27cb87e4c75a" hidden="1">0</definedName>
    <definedName name="_EPRCS_VU_025c3db3_e3e6_43f4_8d53_992402de3387" hidden="1">21369</definedName>
    <definedName name="_EPRCS_VU_02ba46fe_c1d0_4f0e_b676_50d629d4192e" hidden="1">"-3.8%"</definedName>
    <definedName name="_EPRCS_VU_02f9b66c_d5e2_4a08_a8b6_c4cff0e76482" hidden="1">6399</definedName>
    <definedName name="_EPRCS_VU_040c2c7f_b30d_4c60_a3c7_8f61c9fe0136" hidden="1">"34.8%"</definedName>
    <definedName name="_EPRCS_VU_05a1f6ba_6ba9_43be_b367_0e593ecf126d" hidden="1">"-100.0%"</definedName>
    <definedName name="_EPRCS_VU_06eede71_de00_40d6_a98a_16250d10faa2" hidden="1">112</definedName>
    <definedName name="_EPRCS_VU_091e7154_6e18_4849_ae30_7b06df973b69" hidden="1">0</definedName>
    <definedName name="_EPRCS_VU_0938f15e_8674_4cad_afe9_a95cf5f68a94" hidden="1">"37.2%"</definedName>
    <definedName name="_EPRCS_VU_09ea46ee_ea57_4341_8d7b_e6e22a9c9d6a" hidden="1">"17.2%"</definedName>
    <definedName name="_EPRCS_VU_0ae448fe_75d2_4221_a98a_a25852b08506" hidden="1">"11.4%"</definedName>
    <definedName name="_EPRCS_VU_0c523b3c_8cab_4e63_919e_9bdb60fa1a57" hidden="1">8945</definedName>
    <definedName name="_EPRCS_VU_125462be_e6a1_476f_bc18_1ad4fc4eb538" hidden="1">1587</definedName>
    <definedName name="_EPRCS_VU_12b0bbcb_587b_4c55_988f_b6b6139e3428" hidden="1">24563</definedName>
    <definedName name="_EPRCS_VU_1317eee6_7fb2_4099_89ab_18fc3a1d06a1" hidden="1">"#DIV/0!"</definedName>
    <definedName name="_EPRCS_VU_136843a8_bedf_448d_bd88_ec14a882b618" hidden="1">1757</definedName>
    <definedName name="_EPRCS_VU_146f060c_8a8a_4cc2_87e8_55f4589edb1d" hidden="1">45147</definedName>
    <definedName name="_EPRCS_VU_164314ae_9901_442e_8f6c_4ab988dd52ac" hidden="1">19097</definedName>
    <definedName name="_EPRCS_VU_18bbf68f_e445_40e8_a2aa_81c2c633f4e0" hidden="1">0</definedName>
    <definedName name="_EPRCS_VU_19dc56fe_d259_4594_b85a_d7317b57888c" hidden="1">1569</definedName>
    <definedName name="_EPRCS_VU_1a6584d8_b5d0_48d4_addc_f41835cd0677" hidden="1">127412</definedName>
    <definedName name="_EPRCS_VU_1f692c03_1911_4303_96fd_a48bd0632015" hidden="1">27381</definedName>
    <definedName name="_EPRCS_VU_1fa45dd0_5a25_498b_a552_a7a49255556a" hidden="1">67023</definedName>
    <definedName name="_EPRCS_VU_27dc82d8_add7_45ae_99e2_50c262189fd7" hidden="1">8880</definedName>
    <definedName name="_EPRCS_VU_29203f3a_ba41_42df_9457_f42c06e4f506" hidden="1">82256</definedName>
    <definedName name="_EPRCS_VU_292d5c8b_87d0_470b_9e1c_6ff0352eef94" hidden="1">39574</definedName>
    <definedName name="_EPRCS_VU_29484235_de3d_4c2f_9496_b6e01826d6af" hidden="1">5991</definedName>
    <definedName name="_EPRCS_VU_2ca3841c_e4d0_406e_95ed_03b4b368b599" hidden="1">"-100.0%"</definedName>
    <definedName name="_EPRCS_VU_2e2cd088_3ece_4ede_a378_b0921ec19a65" hidden="1">17016</definedName>
    <definedName name="_EPRCS_VU_2eeb9486_e60b_4829_acd5_0c67d2ea0dba" hidden="1">5632</definedName>
    <definedName name="_EPRCS_VU_2f1d530c_f738_40d3_ac86_5184215d6f82" hidden="1">41028</definedName>
    <definedName name="_EPRCS_VU_2ff14483_15b6_46c7_b1c1_d04259de6e47" hidden="1">"-1.2%"</definedName>
    <definedName name="_EPRCS_VU_314f0f83_f498_4f17_b824_db76c9e3305b" hidden="1">99</definedName>
    <definedName name="_EPRCS_VU_32a29872_53e6_40cd_9efa_524d32f896f4" hidden="1">29608</definedName>
    <definedName name="_EPRCS_VU_33384c7d_9027_4760_a9d1_bf8d6f58182b" hidden="1">46870</definedName>
    <definedName name="_EPRCS_VU_33425136_0e45_441a_bfbd_db37b4f92f06" hidden="1">8703</definedName>
    <definedName name="_EPRCS_VU_33e74c85_cb84_4799_a308_b8adc498a699" hidden="1">2994</definedName>
    <definedName name="_EPRCS_VU_34800935_5382_44b0_ad8f_d2312dd1b04a" hidden="1">0</definedName>
    <definedName name="_EPRCS_VU_3731a22b_d139_4e84_aea0_6b0764739cef" hidden="1">8480</definedName>
    <definedName name="_EPRCS_VU_3c352f42_ab52_44de_a54c_60c91b829ef0" hidden="1">92835</definedName>
    <definedName name="_EPRCS_VU_3d6750bf_84a1_402f_bdac_9b66d8b81889" hidden="1">"-8.0%"</definedName>
    <definedName name="_EPRCS_VU_3f8a66b1_df1b_4983_9e0e_2230bb875221" hidden="1">"-100.0%"</definedName>
    <definedName name="_EPRCS_VU_3f8d2183_18b0_407a_bb09_6a0134f2f606" hidden="1">"4.9%"</definedName>
    <definedName name="_EPRCS_VU_4127291b_ae1c_4264_a5b1_372a795a74a6" hidden="1">0</definedName>
    <definedName name="_EPRCS_VU_44d65a28_17fa_47ae_9fb3_9aa1f5fc0907" hidden="1">10120</definedName>
    <definedName name="_EPRCS_VU_4631bd45_a5b4_445f_9fc8_1c28d92de6f1" hidden="1">6272</definedName>
    <definedName name="_EPRCS_VU_46baeb72_026e_4bdb_a8f7_bad38e81d238" hidden="1">37593</definedName>
    <definedName name="_EPRCS_VU_49376c57_703b_4242_b328_ab30bfa8bc5a" hidden="1">8599</definedName>
    <definedName name="_EPRCS_VU_4dc0deb5_7a13_4f9a_8191_aade1bcb0915" hidden="1">"21.3%"</definedName>
    <definedName name="_EPRCS_VU_4fbc078c_135f_40a7_9056_502f26244d79" hidden="1">8054</definedName>
    <definedName name="_EPRCS_VU_50b7a2d1_ec21_4945_8be3_ba8c79772e2e" hidden="1">15107</definedName>
    <definedName name="_EPRCS_VU_52229cca_45fc_4f6d_bcae_a9a8440199f2" hidden="1">71993</definedName>
    <definedName name="_EPRCS_VU_523d6d83_0efc_4f72_b1aa_fa727972963b" hidden="1">21159</definedName>
    <definedName name="_EPRCS_VU_52ba04c2_5d53_4f92_864e_5a09f5649303" hidden="1">56539</definedName>
    <definedName name="_EPRCS_VU_537ddc2c_08b3_4b7b_a101_8cde014f8238" hidden="1">24364</definedName>
    <definedName name="_EPRCS_VU_54e285be_2697_4864_baf7_dcd0cf8600ee" hidden="1">5964</definedName>
    <definedName name="_EPRCS_VU_554742a0_b8c7_4031_a515_02933844c00c" hidden="1">"6.5%"</definedName>
    <definedName name="_EPRCS_VU_563624dc_6184_43d4_8ef7_ea7113c1e387" hidden="1">"3.9%"</definedName>
    <definedName name="_EPRCS_VU_56c748b5_a54c_4233_8c95_d32791138813" hidden="1">21128</definedName>
    <definedName name="_EPRCS_VU_59d39eb9_3eab_4df5_98a4_20ce68e9ef0d" hidden="1">"-18.5%"</definedName>
    <definedName name="_EPRCS_VU_5a8a7d08_9a31_4beb_b18d_33cf4571e540" hidden="1">"-6.3%"</definedName>
    <definedName name="_EPRCS_VU_5b4ed197_4f19_498c_b009_bcb0311481ac" hidden="1">-1505</definedName>
    <definedName name="_EPRCS_VU_5cc27768_b738_4725_abd3_e43c89a7be9d" hidden="1">-1677</definedName>
    <definedName name="_EPRCS_VU_5d42b79e_50aa_4c26_920a_b0a51e3bd5f8" hidden="1">19200</definedName>
    <definedName name="_EPRCS_VU_5d455328_e71f_44db_a403_f64e35b60a8e" hidden="1">0</definedName>
    <definedName name="_EPRCS_VU_5e7ecf31_0071_4c50_af91_c91e22243da9" hidden="1">"-100.0%"</definedName>
    <definedName name="_EPRCS_VU_60342824_cc62_4d14_8d74_37245b68ce74" hidden="1">0</definedName>
    <definedName name="_EPRCS_VU_608957dc_7fe6_4813_b3b6_30d3f4d58e5b" hidden="1">"2.5%"</definedName>
    <definedName name="_EPRCS_VU_61d2edfb_5563_4ee4_81c1_23fd1722f00d" hidden="1">0</definedName>
    <definedName name="_EPRCS_VU_62434371_aa14_4de7_ab77_54ff528cd6c6" hidden="1">25811</definedName>
    <definedName name="_EPRCS_VU_62ecb91e_ff05_404c_9ff8_4e9217b9edba" hidden="1">"-100.0%"</definedName>
    <definedName name="_EPRCS_VU_64c4a6d4_d662_4c9e_a66f_067e591de565" hidden="1">0</definedName>
    <definedName name="_EPRCS_VU_669dad58_5407_4e7f_a477_b05ae3aa5a8c" hidden="1">"7.5%"</definedName>
    <definedName name="_EPRCS_VU_66e61a31_0117_4ca5_ab28_a346ca7065df" hidden="1">37339</definedName>
    <definedName name="_EPRCS_VU_6704a2cb_635a_49c2_afbf_76d3a8cb3d01" hidden="1">0</definedName>
    <definedName name="_EPRCS_VU_675deac9_8771_4cd0_bd82_8baf3b74c69f" hidden="1">"-100.0%"</definedName>
    <definedName name="_EPRCS_VU_6778d503_cd77_4392_8b55_281b9676c784" hidden="1">"-7.6%"</definedName>
    <definedName name="_EPRCS_VU_67d9381c_3f83_4446_af10_59c2bcbc3823" hidden="1">61803</definedName>
    <definedName name="_EPRCS_VU_68fa52f0_0326_4b94_8bf1_e22321dfcb3f" hidden="1">"3.7%"</definedName>
    <definedName name="_EPRCS_VU_69ca8154_e607_4be7_830d_81b9ac6f81b8" hidden="1">2641</definedName>
    <definedName name="_EPRCS_VU_69caa1d6_860a_4df6_88de_6c6f27feb280" hidden="1">26151</definedName>
    <definedName name="_EPRCS_VU_69fe80e4_bb68_4b6c_82db_5917581bd2d2" hidden="1">0</definedName>
    <definedName name="_EPRCS_VU_6b9bb8dd_7d3f_41fc_92da_fc0ac84d5875" hidden="1">336</definedName>
    <definedName name="_EPRCS_VU_6c545a59_8514_4914_be4b_fd46af068c97" hidden="1">32418</definedName>
    <definedName name="_EPRCS_VU_6c90a9d2_18fb_4ebb_bf7f_bb3898c522dd" hidden="1">0</definedName>
    <definedName name="_EPRCS_VU_6ce2b8bd_115f_475a_8e0b_d953071c4240" hidden="1">"12.0%"</definedName>
    <definedName name="_EPRCS_VU_6df4d4b1_028d_40cf_ab20_1dbb362fd992" hidden="1">"3.5%"</definedName>
    <definedName name="_EPRCS_VU_6f5e0c26_c312_4d0e_a191_16b7191bd952" hidden="1">0</definedName>
    <definedName name="_EPRCS_VU_70ca6b93_2d41_48cd_9b27_f78d6bdb98ed" hidden="1">315493</definedName>
    <definedName name="_EPRCS_VU_70ebee1a_9e68_462b_a429_49a2bed6fbd6" hidden="1">"33.8%"</definedName>
    <definedName name="_EPRCS_VU_71282b18_d4aa_400a_97b4_aa0a18e3c865" hidden="1">46929</definedName>
    <definedName name="_EPRCS_VU_71710aac_ab66_4385_a7bc_dfe6ad081f25" hidden="1">531</definedName>
    <definedName name="_EPRCS_VU_7251f68f_21fe_4d48_b8fb_1a2025e458d4" hidden="1">21539</definedName>
    <definedName name="_EPRCS_VU_735291ef_295d_4fad_97ba_b24a4adff62c" hidden="1">"-"</definedName>
    <definedName name="_EPRCS_VU_757f7d7f_9eca_4fd8_b006_ade1f4eff5d5" hidden="1">30808</definedName>
    <definedName name="_EPRCS_VU_75c8d60d_37f7_46b6_b2d6_8963dfd9fcd8" hidden="1">5114</definedName>
    <definedName name="_EPRCS_VU_794a5434_a239_4a7a_8c3d_ba918d4d6621" hidden="1">-2091</definedName>
    <definedName name="_EPRCS_VU_7ab7f997_d05b_4b1d_a371_3fb8a492c167" hidden="1">0</definedName>
    <definedName name="_EPRCS_VU_7e392f0d_a9f0_487f_817f_56aea6c5ba8c" hidden="1">601</definedName>
    <definedName name="_EPRCS_VU_7e42843d_4ff4_410e_9878_3fd2f8b07b8f" hidden="1">0</definedName>
    <definedName name="_EPRCS_VU_7f6dc856_c643_42af_83fc_f489eead6b52" hidden="1">177350</definedName>
    <definedName name="_EPRCS_VU_808adeee_f6e4_4f92_956d_407e6bc18cbd" hidden="1">4355</definedName>
    <definedName name="_EPRCS_VU_81155f40_0045_4a79_836b_110f8a5312d8" hidden="1">13869</definedName>
    <definedName name="_EPRCS_VU_826709fe_9491_4307_be5f_03d41eb8193a" hidden="1">21809</definedName>
    <definedName name="_EPRCS_VU_82ebe7d5_eaba_48db_a832_1a558f8fc010" hidden="1">0</definedName>
    <definedName name="_EPRCS_VU_84a99371_f33e_4c6b_9f1e_0686dee3a03a" hidden="1">7702</definedName>
    <definedName name="_EPRCS_VU_853e6c8c_88b3_4797_b3ae_00543c0851cf" hidden="1">206670</definedName>
    <definedName name="_EPRCS_VU_8542b68e_24cf_4879_be4c_3adfc06ff7cd" hidden="1">3225</definedName>
    <definedName name="_EPRCS_VU_881c7668_d89f_47d8_8cfd_8620cf9bd339" hidden="1">"13.7%"</definedName>
    <definedName name="_EPRCS_VU_8a2df024_5790_4290_824e_2dcaa29cc77b" hidden="1">"-14.3%"</definedName>
    <definedName name="_EPRCS_VU_8a3ae97a_8cff_4610_8183_cdebb90c41dc" hidden="1">66311</definedName>
    <definedName name="_EPRCS_VU_8afa72ce_32b7_4d14_8d66_053f3d93cd7f" hidden="1">5516</definedName>
    <definedName name="_EPRCS_VU_8dc51e93_a015_4035_be57_d8284216a19b" hidden="1">"-100.0%"</definedName>
    <definedName name="_EPRCS_VU_8df7cf8e_87e7_441d_bd4a_b03e8986ee4c" hidden="1">0</definedName>
    <definedName name="_EPRCS_VU_8e645a67_7490_44b2_9c0f_36c77af07d9d" hidden="1">6527</definedName>
    <definedName name="_EPRCS_VU_8ec215d8_cc8f_4dc5_bf24_669f920ffc3e" hidden="1">624</definedName>
    <definedName name="_EPRCS_VU_8ee60e04_4707_4954_8688_682c36a917ed" hidden="1">38975</definedName>
    <definedName name="_EPRCS_VU_9010f969_1453_411d_8b78_0dadaeec8c5a" hidden="1">"-100.0%"</definedName>
    <definedName name="_EPRCS_VU_949329c0_7bfa_4b5f_937d_2cafb1001c62" hidden="1">"0.7%"</definedName>
    <definedName name="_EPRCS_VU_9493c023_1b12_4c05_af32_4e6892614817" hidden="1">"7.1%"</definedName>
    <definedName name="_EPRCS_VU_950b5e25_8591_4b28_b3fe_43c682b4e03b" hidden="1">35913</definedName>
    <definedName name="_EPRCS_VU_959b6fcc_39b1_4f29_83a4_5ac89df810ff" hidden="1">5576</definedName>
    <definedName name="_EPRCS_VU_97c55d50_05e7_4454_b63c_8348a23da12e" hidden="1">"3.6%"</definedName>
    <definedName name="_EPRCS_VU_98a9330a_23e8_402f_8fa3_b406f36a951e" hidden="1">188081</definedName>
    <definedName name="_EPRCS_VU_991b3307_217f_42bd_86ec_0bbb4cfbe2bc" hidden="1">1350</definedName>
    <definedName name="_EPRCS_VU_99bcbf6d_36f6_4b97_8831_540470b13e84" hidden="1">3662</definedName>
    <definedName name="_EPRCS_VU_9c7f58e1_a953_4db0_9eac_5d26dbe8c4a4" hidden="1">0</definedName>
    <definedName name="_EPRCS_VU_9d6701d6_0f95_4ac2_bad0_19a667213d22" hidden="1">92781</definedName>
    <definedName name="_EPRCS_VU_9d7069ed_74ec_4fad_a244_125353834433" hidden="1">3014</definedName>
    <definedName name="_EPRCS_VU_9f441f2f_fa73_4337_9d97_97b2eda88e92" hidden="1">"59.8%"</definedName>
    <definedName name="_EPRCS_VU_a0bc93b3_be1d_404e_9da8_f560b224b5ba" hidden="1">0</definedName>
    <definedName name="_EPRCS_VU_a0c7771e_d330_4bd1_baab_a2ff36b9f8f7" hidden="1">40294</definedName>
    <definedName name="_EPRCS_VU_a3473e99_25ab_44d6_8da5_ebee390de09f" hidden="1">0</definedName>
    <definedName name="_EPRCS_VU_a42eb2ab_ddfa_4f5f_814d_eef5d8fd65d7" hidden="1">"9.2%"</definedName>
    <definedName name="_EPRCS_VU_a727683a_7e8e_493d_b974_561d5a51f792" hidden="1">"28.7%"</definedName>
    <definedName name="_EPRCS_VU_a95b09b2_a344_4e21_a617_f4f723adaca9" hidden="1">"8.5%"</definedName>
    <definedName name="_EPRCS_VU_a9d6c715_2503_4835_a8b9_19e9bf702db7" hidden="1">"-100.0%"</definedName>
    <definedName name="_EPRCS_VU_a9e05884_1882_4b19_9064_aaaa737a84e1" hidden="1">68401</definedName>
    <definedName name="_EPRCS_VU_abf6b0fa_0253_456e_84aa_fd2ea6eae7ac" hidden="1">4506</definedName>
    <definedName name="_EPRCS_VU_acde3c86_dd04_4fc3_93bb_07aa61ff120f" hidden="1">8505</definedName>
    <definedName name="_EPRCS_VU_ae2fb867_a9fd_4217_a522_d1176399b17b" hidden="1">0</definedName>
    <definedName name="_EPRCS_VU_ae4d3989_2fbe_4c7a_96a1_f377cbc3f559" hidden="1">274465</definedName>
    <definedName name="_EPRCS_VU_af9138e6_e99c_4626_95d8_aaf4a78244d6" hidden="1">"-100.0%"</definedName>
    <definedName name="_EPRCS_VU_afef4ff3_ac8f_481c_bc41_210d810d6f17" hidden="1">19514</definedName>
    <definedName name="_EPRCS_VU_b32a637b_3fad_4d89_b1ee_aa8e33948b1c" hidden="1">127412</definedName>
    <definedName name="_EPRCS_VU_b66ea698_ba66_4be6_8ff6_2bba8a10aa77" hidden="1">"-4.8%"</definedName>
    <definedName name="_EPRCS_VU_ba39d34e_86c5_4709_b2c2_b03aa3aabb4a" hidden="1">5114</definedName>
    <definedName name="_EPRCS_VU_bc672684_47fe_4f4e_8d64_4e82d96e8a6a" hidden="1">"9.2%"</definedName>
    <definedName name="_EPRCS_VU_bd8761ca_a868_48f1_b4ab_c0a23d874f6d" hidden="1">8175</definedName>
    <definedName name="_EPRCS_VU_bdec0a6c_7ea8_441e_8fd4_da9adc5d1936" hidden="1">66275</definedName>
    <definedName name="_EPRCS_VU_c27650e9_22bc_41a7_8c4d_1332cc97a43d" hidden="1">"6.9%"</definedName>
    <definedName name="_EPRCS_VU_c4006423_1b02_4c5a_bde5_4b18c2cd0f77" hidden="1">"32.4%"</definedName>
    <definedName name="_EPRCS_VU_c6ce7bbc_cdae_42cd_a202_e1405a729e3f" hidden="1">25626</definedName>
    <definedName name="_EPRCS_VU_c9927729_38b5_4bc7_b65c_9b61cb6080ad" hidden="1">33</definedName>
    <definedName name="_EPRCS_VU_ca344b73_c91a_4770_b367_389bf785b03e" hidden="1">"-10.2%"</definedName>
    <definedName name="_EPRCS_VU_cc4693c1_45c1_4787_a094_69c97e600a45" hidden="1">9276</definedName>
    <definedName name="_EPRCS_VU_cdebbcb7_3b74_4e9d_bdb9_eab1accaebb4" hidden="1">"-23.1%"</definedName>
    <definedName name="_EPRCS_VU_cf133536_f668_433b_8364_188d99c8cea6" hidden="1">"31.5%"</definedName>
    <definedName name="_EPRCS_VU_cf54d0e9_c166_4192_83eb_7b9bcf39a158" hidden="1">"9.8%"</definedName>
    <definedName name="_EPRCS_VU_cfea4134_c0da_4255_8073_7e6494aac815" hidden="1">25248</definedName>
    <definedName name="_EPRCS_VU_d0caf8e1_6ae4_4d1c_9770_14a41dd2c235" hidden="1">21531</definedName>
    <definedName name="_EPRCS_VU_d1e18c32_a619_435e_b8d2_ea4e3d820547" hidden="1">47628</definedName>
    <definedName name="_EPRCS_VU_d2fb5d56_16c7_415f_b77b_46eb22c1ecce" hidden="1">"Q3"</definedName>
    <definedName name="_EPRCS_VU_d42896cb_6231_43a1_93cd_7ce679deb5bc" hidden="1">"-5.2%"</definedName>
    <definedName name="_EPRCS_VU_d53cf55a_8832_44b4_abd1_38c8de527124" hidden="1">3463</definedName>
    <definedName name="_EPRCS_VU_d5e7a350_e837_4617_b422_b916649416f4" hidden="1">-947</definedName>
    <definedName name="_EPRCS_VU_d7a65518_50c6_419f_8ddf_a8f3fb37fa5b" hidden="1">124</definedName>
    <definedName name="_EPRCS_VU_d84da435_08c8_4eb1_be14_fd64f6bb40f6" hidden="1">139647</definedName>
    <definedName name="_EPRCS_VU_d932912b_08be_4bab_ade1_e3daf144040e" hidden="1">0</definedName>
    <definedName name="_EPRCS_VU_d9fc5c9d_262d_4cf4_a8ba_8d9450633aa0" hidden="1">113835</definedName>
    <definedName name="_EPRCS_VU_db8146e5_8ef6_4cc3_a193_f04b264a276d" hidden="1">23612</definedName>
    <definedName name="_EPRCS_VU_de0173a1_14bf_46e5_819c_2d75dec52b5b" hidden="1">156291</definedName>
    <definedName name="_EPRCS_VU_df1a6006_33f6_4bf9_a6ad_b4d5a628ca19" hidden="1">"31.9%"</definedName>
    <definedName name="_EPRCS_VU_e0d7bc3f_963c_41c6_8050_8bb2bf3fe82d" hidden="1">-4130</definedName>
    <definedName name="_EPRCS_VU_e2f5ddca_e84f_48ed_82fa_5e431865ce2f" hidden="1">"1.5%"</definedName>
    <definedName name="_EPRCS_VU_e5f4b530_cc69_4d95_b7ff_d30aa0891a72" hidden="1">28723</definedName>
    <definedName name="_EPRCS_VU_e62b54d3_0a15_4007_8baf_12f688a0d25a" hidden="1">67742</definedName>
    <definedName name="_EPRCS_VU_e6428862_b063_42df_9567_51b7d7dea91f" hidden="1">14805</definedName>
    <definedName name="_EPRCS_VU_e9d3f158_c0f5_44dd_a3d1_431295f72800" hidden="1">26057</definedName>
    <definedName name="_EPRCS_VU_ea2dcb37_73ca_42b1_9a54_24c3023d50d1" hidden="1">-20</definedName>
    <definedName name="_EPRCS_VU_ebbe7004_6b7f_48ad_bb09_67924feed5aa" hidden="1">"-25.4%"</definedName>
    <definedName name="_EPRCS_VU_ec0aae8b_2899_4790_8689_0b9e6c5efedb" hidden="1">116711</definedName>
    <definedName name="_EPRCS_VU_efd85028_fa18_450e_a0d9_a42cd712a4c8" hidden="1">"4.4%"</definedName>
    <definedName name="_EPRCS_VU_f24021b0_e26b_414d_8e82_a8f4a8366a50" hidden="1">"3.8%"</definedName>
    <definedName name="_EPRCS_VU_f42d0bad_9e8c_4cf0_8a74_dfdbb0db30aa" hidden="1">188048</definedName>
    <definedName name="_EPRCS_VU_f4abe92b_0b03_47fe_915e_24a6ac18245d" hidden="1">"8.9%"</definedName>
    <definedName name="_EPRCS_VU_f4b3440f_d9e5_4e84_8290_e9521dfa9f40" hidden="1">59007</definedName>
    <definedName name="_EPRCS_VU_f5a4891f_519f_46c3_97d8_5feb1ed7f28e" hidden="1">60638</definedName>
    <definedName name="_EPRCS_VU_f753d0c7_c8af_4f39_8efb_1d2a194678d7" hidden="1">"11.7%"</definedName>
    <definedName name="_EPRCS_VU_faa4c73d_0ec4_4306_822d_9dfd875baa3c" hidden="1">"-4.1%"</definedName>
    <definedName name="_EPRCS_VU_fb4a2786_6a8a_460c_8782_1b4a50b21a48" hidden="1">37441</definedName>
    <definedName name="_EPRCS_VU_fc172503_6bda_4757_9cab_d88b116707eb" hidden="1">21508</definedName>
    <definedName name="_EPRCS_VU_fd62535f_4753_44f0_ba6c_3328628636d7" hidden="1">"8.8%"</definedName>
    <definedName name="_EPRCS_VU_fdcdb9d6_f966_417f_9fb5_bbade45180f7" hidden="1">36666</definedName>
    <definedName name="_EPRCS_VU_fe1078ef_96e6_4250_a993_df3bbc0cb754" hidden="1">17085</definedName>
    <definedName name="_EPRCS_VU_feb35535_1bf1_4905_bd6d_f28c7198d50a" hidden="1">0</definedName>
    <definedName name="_xlnm.Print_Area" localSheetId="4">'1.Rev YoY'!$C$1:$H$24</definedName>
    <definedName name="_xlnm.Print_Area" localSheetId="5">'2.Ope YoY'!$B$1:$I$22</definedName>
    <definedName name="_xlnm.Print_Area" localSheetId="6">'3.Summary'!$B$1:$Q$31</definedName>
    <definedName name="_xlnm.Print_Area" localSheetId="2">Corporate_Overview!$A$1:$M$39</definedName>
    <definedName name="_xlnm.Print_Area" localSheetId="0">Cover!$A$1:$Q$30</definedName>
    <definedName name="_xlnm.Print_Area" localSheetId="1">'Segmental info &amp; Opex'!$A$1:$P$50</definedName>
    <definedName name="_xlnm.Print_Area" localSheetId="3">'Segmental info &amp; Opex (original'!$A$1:$P$50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43034" l="1"/>
  <c r="R40" i="6"/>
  <c r="I40" i="6"/>
  <c r="R38" i="6"/>
  <c r="I37" i="6"/>
  <c r="R36" i="6"/>
  <c r="I35" i="6"/>
  <c r="R34" i="6"/>
  <c r="I33" i="6"/>
  <c r="R32" i="6"/>
  <c r="I32" i="6"/>
  <c r="R30" i="6"/>
  <c r="R28" i="6"/>
  <c r="I28" i="6"/>
  <c r="R26" i="6"/>
  <c r="I26" i="6"/>
  <c r="I25" i="6"/>
  <c r="I24" i="6"/>
  <c r="R23" i="6"/>
  <c r="I21" i="6"/>
  <c r="I19" i="6"/>
  <c r="R17" i="6"/>
  <c r="R15" i="6"/>
  <c r="R11" i="6"/>
  <c r="R9" i="6"/>
  <c r="I9" i="6"/>
  <c r="R7" i="6"/>
  <c r="I7" i="6"/>
  <c r="R5" i="6"/>
  <c r="I5" i="6"/>
  <c r="H12" i="43036"/>
  <c r="G12" i="43036"/>
  <c r="F12" i="43036"/>
  <c r="E12" i="43036"/>
  <c r="D12" i="43036"/>
  <c r="H11" i="43036"/>
  <c r="G11" i="43036"/>
  <c r="F11" i="43036"/>
  <c r="E11" i="43036"/>
  <c r="D11" i="43036"/>
  <c r="H10" i="43036"/>
  <c r="G10" i="43036"/>
  <c r="F10" i="43036"/>
  <c r="E10" i="43036"/>
  <c r="D10" i="43036"/>
  <c r="H9" i="43036"/>
  <c r="G9" i="43036"/>
  <c r="F9" i="43036"/>
  <c r="E9" i="43036"/>
  <c r="D9" i="43036"/>
  <c r="H8" i="43036"/>
  <c r="G8" i="43036"/>
  <c r="F8" i="43036"/>
  <c r="E8" i="43036"/>
  <c r="D8" i="43036"/>
  <c r="H7" i="43036"/>
  <c r="G7" i="43036"/>
  <c r="F7" i="43036"/>
  <c r="E7" i="43036"/>
  <c r="D7" i="43036"/>
  <c r="H6" i="43036"/>
  <c r="G6" i="43036"/>
  <c r="F6" i="43036"/>
  <c r="E6" i="43036"/>
  <c r="D6" i="43036"/>
  <c r="H5" i="43036"/>
  <c r="G5" i="43036"/>
  <c r="F5" i="43036"/>
  <c r="E5" i="43036"/>
  <c r="D5" i="43036"/>
  <c r="B2" i="43036"/>
  <c r="K44" i="43037"/>
  <c r="J44" i="43037"/>
  <c r="I44" i="43037"/>
  <c r="H44" i="43037"/>
  <c r="G44" i="43037"/>
  <c r="J43" i="43037"/>
  <c r="K42" i="43037"/>
  <c r="J42" i="43037"/>
  <c r="I42" i="43037"/>
  <c r="H42" i="43037"/>
  <c r="G42" i="43037"/>
  <c r="K41" i="43037"/>
  <c r="J41" i="43037"/>
  <c r="I41" i="43037"/>
  <c r="H41" i="43037"/>
  <c r="G41" i="43037"/>
  <c r="K40" i="43037"/>
  <c r="J40" i="43037"/>
  <c r="I40" i="43037"/>
  <c r="H40" i="43037"/>
  <c r="G40" i="43037"/>
  <c r="K39" i="43037"/>
  <c r="J39" i="43037"/>
  <c r="I39" i="43037"/>
  <c r="H39" i="43037"/>
  <c r="G39" i="43037"/>
  <c r="K38" i="43037"/>
  <c r="J38" i="43037"/>
  <c r="I38" i="43037"/>
  <c r="H38" i="43037"/>
  <c r="G38" i="43037"/>
  <c r="K34" i="43037"/>
  <c r="J34" i="43037"/>
  <c r="I34" i="43037"/>
  <c r="H34" i="43037"/>
  <c r="G34" i="43037"/>
  <c r="K33" i="43037"/>
  <c r="J33" i="43037"/>
  <c r="I33" i="43037"/>
  <c r="H33" i="43037"/>
  <c r="G33" i="43037"/>
  <c r="K32" i="43037"/>
  <c r="J32" i="43037"/>
  <c r="I32" i="43037"/>
  <c r="H32" i="43037"/>
  <c r="G32" i="43037"/>
  <c r="K31" i="43037"/>
  <c r="J31" i="43037"/>
  <c r="I31" i="43037"/>
  <c r="H31" i="43037"/>
  <c r="G31" i="43037"/>
  <c r="K30" i="43037"/>
  <c r="J30" i="43037"/>
  <c r="I30" i="43037"/>
  <c r="H30" i="43037"/>
  <c r="G30" i="43037"/>
  <c r="K29" i="43037"/>
  <c r="J29" i="43037"/>
  <c r="I29" i="43037"/>
  <c r="H29" i="43037"/>
  <c r="G29" i="43037"/>
  <c r="K28" i="43037"/>
  <c r="J28" i="43037"/>
  <c r="I28" i="43037"/>
  <c r="H28" i="43037"/>
  <c r="G28" i="43037"/>
  <c r="K27" i="43037"/>
  <c r="J27" i="43037"/>
  <c r="I27" i="43037"/>
  <c r="H27" i="43037"/>
  <c r="G27" i="43037"/>
  <c r="K26" i="43037"/>
  <c r="J26" i="43037"/>
  <c r="I26" i="43037"/>
  <c r="H26" i="43037"/>
  <c r="G26" i="43037"/>
  <c r="K25" i="43037"/>
  <c r="J25" i="43037"/>
  <c r="I25" i="43037"/>
  <c r="H25" i="43037"/>
  <c r="G25" i="43037"/>
  <c r="K20" i="43037"/>
  <c r="J20" i="43037"/>
  <c r="I20" i="43037"/>
  <c r="H20" i="43037"/>
  <c r="G20" i="43037"/>
  <c r="K19" i="43037"/>
  <c r="J19" i="43037"/>
  <c r="I19" i="43037"/>
  <c r="H19" i="43037"/>
  <c r="G19" i="43037"/>
  <c r="K18" i="43037"/>
  <c r="J18" i="43037"/>
  <c r="I18" i="43037"/>
  <c r="H18" i="43037"/>
  <c r="G18" i="43037"/>
  <c r="K17" i="43037"/>
  <c r="J17" i="43037"/>
  <c r="I17" i="43037"/>
  <c r="H17" i="43037"/>
  <c r="G17" i="43037"/>
  <c r="K16" i="43037"/>
  <c r="J16" i="43037"/>
  <c r="I16" i="43037"/>
  <c r="H16" i="43037"/>
  <c r="G16" i="43037"/>
  <c r="K15" i="43037"/>
  <c r="J15" i="43037"/>
  <c r="I15" i="43037"/>
  <c r="H15" i="43037"/>
  <c r="G15" i="43037"/>
  <c r="K14" i="43037"/>
  <c r="J14" i="43037"/>
  <c r="I14" i="43037"/>
  <c r="H14" i="43037"/>
  <c r="G14" i="43037"/>
  <c r="K13" i="43037"/>
  <c r="J13" i="43037"/>
  <c r="I13" i="43037"/>
  <c r="H13" i="43037"/>
  <c r="G13" i="43037"/>
  <c r="K12" i="43037"/>
  <c r="J12" i="43037"/>
  <c r="I12" i="43037"/>
  <c r="H12" i="43037"/>
  <c r="G12" i="43037"/>
  <c r="K11" i="43037"/>
  <c r="J11" i="43037"/>
  <c r="I11" i="43037"/>
  <c r="H11" i="43037"/>
  <c r="G11" i="43037"/>
  <c r="K10" i="43037"/>
  <c r="G10" i="43037"/>
  <c r="K9" i="43037"/>
  <c r="G9" i="43037"/>
  <c r="G2" i="43037"/>
</calcChain>
</file>

<file path=xl/sharedStrings.xml><?xml version="1.0" encoding="utf-8"?>
<sst xmlns="http://schemas.openxmlformats.org/spreadsheetml/2006/main" count="553" uniqueCount="312">
  <si>
    <t>2026年5月期(FY26)第3四半期　業績補足資料</t>
    <rPh sb="4" eb="5">
      <t>ネン</t>
    </rPh>
    <rPh sb="7" eb="8">
      <t>キ</t>
    </rPh>
    <rPh sb="14" eb="15">
      <t>ダイ</t>
    </rPh>
    <rPh sb="16" eb="17">
      <t>シ</t>
    </rPh>
    <rPh sb="17" eb="19">
      <t>ハンキ</t>
    </rPh>
    <rPh sb="20" eb="22">
      <t>ギョウセキ</t>
    </rPh>
    <rPh sb="22" eb="24">
      <t>ホソク</t>
    </rPh>
    <phoneticPr fontId="2"/>
  </si>
  <si>
    <t>3rd Quarter, Fiscal Year ending May 2026 (FY26) Business Results</t>
  </si>
  <si>
    <t>(Supplemental Information and Historical Facts)</t>
  </si>
  <si>
    <t>1.</t>
  </si>
  <si>
    <t>セグメント別データおよび営業経費 / Segmental Info and Opex</t>
  </si>
  <si>
    <t>2.</t>
  </si>
  <si>
    <t xml:space="preserve">会社概要　Corporate Overview </t>
    <rPh sb="0" eb="2">
      <t>カイシャ</t>
    </rPh>
    <rPh sb="2" eb="4">
      <t>ガイヨウ</t>
    </rPh>
    <phoneticPr fontId="2"/>
  </si>
  <si>
    <t>Oracle Corporation Japan (TSE 4716)</t>
  </si>
  <si>
    <t>http://www.oracle.com/jp/corporate/investor-relations/index.html</t>
  </si>
  <si>
    <t>セグメント別データおよび営業経費 / Segmental Info and Opex</t>
    <rPh sb="5" eb="6">
      <t>ベツ</t>
    </rPh>
    <rPh sb="12" eb="14">
      <t>エイギョウ</t>
    </rPh>
    <rPh sb="14" eb="16">
      <t>ケイヒ</t>
    </rPh>
    <phoneticPr fontId="2"/>
  </si>
  <si>
    <t>売上高 / Total Net Sales</t>
    <rPh sb="0" eb="2">
      <t>ウリアゲ</t>
    </rPh>
    <rPh sb="2" eb="3">
      <t>ダカ</t>
    </rPh>
    <phoneticPr fontId="2"/>
  </si>
  <si>
    <t>（百万円 Millions of Yen, %=YoY）</t>
  </si>
  <si>
    <t>Q1</t>
  </si>
  <si>
    <t>Q2</t>
  </si>
  <si>
    <t>Q3</t>
  </si>
  <si>
    <t>Q4</t>
  </si>
  <si>
    <t>Total</t>
  </si>
  <si>
    <t>クラウド
Cloud</t>
  </si>
  <si>
    <t>ソフトウェア・ライセンス
Software license</t>
  </si>
  <si>
    <t>ソフトウェア・サポート
Software support</t>
  </si>
  <si>
    <t>ソフトウェア
Software</t>
  </si>
  <si>
    <t>クラウド・アンド・ソフトウェア
Cloud and software</t>
  </si>
  <si>
    <t>ハードウェア
Hardware</t>
  </si>
  <si>
    <t>-5.5%</t>
  </si>
  <si>
    <t>-25.2%</t>
  </si>
  <si>
    <t>19.9%</t>
  </si>
  <si>
    <t>-15.2%</t>
  </si>
  <si>
    <t>-7.7%</t>
  </si>
  <si>
    <t>サービス
Services</t>
  </si>
  <si>
    <t>9.0%</t>
  </si>
  <si>
    <t>12.6%</t>
  </si>
  <si>
    <t>17.1%</t>
  </si>
  <si>
    <t>3.2%</t>
  </si>
  <si>
    <t>10.3%</t>
  </si>
  <si>
    <t>合計
Total Net Sales</t>
    <rPh sb="0" eb="2">
      <t>ゴウケイ</t>
    </rPh>
    <phoneticPr fontId="2"/>
  </si>
  <si>
    <t>11.4%</t>
  </si>
  <si>
    <t>2.2%</t>
  </si>
  <si>
    <t>13.7%</t>
  </si>
  <si>
    <t>4.4%</t>
  </si>
  <si>
    <t>7.8%</t>
  </si>
  <si>
    <t>第1四半期会計期間より、収益の分解情報を業績の管理区分の変更に合わせて表示することにし、報告セグメントである「クラウド・アンド・ソフトウェア」を「クラウド」、「ソフトウェア」の区分に変更して表示しています。また、「ソフトウェア」は、「ソフトウェア・ライセンス」、「ソフトウェア・サポート」で構成されております。なお、前会計期間の情報は、変更後の区分方法により作成したものを記載しています。/ Starting from the first quarter of the current fiscal year, we have decided to present the breakdown of revenues in alignment with changes in our performance management categories. The revenue breakdown of the reportable segment "Cloud and software" is now presented as "Cloud" and "Software". "Software" consists of "Software license" and "Software support". The breakdown of revenues for the previous fiscal year is presented using the new classification method.</t>
  </si>
  <si>
    <t>営業利益 / Operating Income</t>
    <rPh sb="0" eb="2">
      <t>エイギョウ</t>
    </rPh>
    <rPh sb="2" eb="4">
      <t>リエキ</t>
    </rPh>
    <phoneticPr fontId="2"/>
  </si>
  <si>
    <t>18.4%</t>
  </si>
  <si>
    <t>-0.3%</t>
  </si>
  <si>
    <t>11.6%</t>
  </si>
  <si>
    <t>2.0%</t>
  </si>
  <si>
    <t>7.6%</t>
  </si>
  <si>
    <t>-16.0%</t>
  </si>
  <si>
    <t>-9.1%</t>
  </si>
  <si>
    <t>-4.6%</t>
  </si>
  <si>
    <t>-30.5%</t>
  </si>
  <si>
    <t>-17.6%</t>
  </si>
  <si>
    <t>41.1%</t>
  </si>
  <si>
    <t>-6.2%</t>
  </si>
  <si>
    <t>69.8%</t>
  </si>
  <si>
    <t>14.3%</t>
  </si>
  <si>
    <t>22.7%</t>
  </si>
  <si>
    <t>共通経費（全社費用)
Adjustment</t>
    <rPh sb="0" eb="2">
      <t>キョウツウ</t>
    </rPh>
    <rPh sb="2" eb="4">
      <t>ケイヒ</t>
    </rPh>
    <rPh sb="5" eb="7">
      <t>ゼンシャ</t>
    </rPh>
    <rPh sb="7" eb="9">
      <t>ヒヨウ</t>
    </rPh>
    <phoneticPr fontId="2"/>
  </si>
  <si>
    <t>4.3%</t>
  </si>
  <si>
    <t>-2.8%</t>
  </si>
  <si>
    <t>-4.9%</t>
  </si>
  <si>
    <t>4.6%</t>
  </si>
  <si>
    <t>0.6%</t>
  </si>
  <si>
    <t>営業利益
Operating income</t>
    <rPh sb="0" eb="2">
      <t>エイギョウ</t>
    </rPh>
    <rPh sb="2" eb="4">
      <t>リエキ</t>
    </rPh>
    <phoneticPr fontId="2"/>
  </si>
  <si>
    <t>20.2%</t>
  </si>
  <si>
    <t>-0.7%</t>
  </si>
  <si>
    <t>15.1%</t>
  </si>
  <si>
    <t>2.3%</t>
  </si>
  <si>
    <t>8.8%</t>
  </si>
  <si>
    <t>営業経費主要科目 (売上原価+販売費及び一般管理費) / Operating Expenses (Sum of COGS and SG&amp;A )</t>
  </si>
  <si>
    <t xml:space="preserve"> ロイヤルティ（Royalty）</t>
  </si>
  <si>
    <t xml:space="preserve"> ハードウェア仕入原価  (Hardware Purchasing Expenses)</t>
    <rPh sb="7" eb="9">
      <t>ゲンカ</t>
    </rPh>
    <rPh sb="9" eb="10">
      <t>　</t>
    </rPh>
    <rPh sb="10" eb="11">
      <t>（</t>
    </rPh>
    <phoneticPr fontId="2"/>
  </si>
  <si>
    <t xml:space="preserve"> 人件費（Human Resources）</t>
    <rPh sb="1" eb="4">
      <t>ジンケンヒ</t>
    </rPh>
    <phoneticPr fontId="2"/>
  </si>
  <si>
    <t xml:space="preserve"> 業務委託費 (Outsourcing）</t>
    <rPh sb="1" eb="3">
      <t>ギョウム</t>
    </rPh>
    <rPh sb="3" eb="5">
      <t>イタク</t>
    </rPh>
    <rPh sb="5" eb="6">
      <t>ヒ</t>
    </rPh>
    <phoneticPr fontId="2"/>
  </si>
  <si>
    <t xml:space="preserve"> ファシリティ関連（Facility）*</t>
    <rPh sb="7" eb="9">
      <t>カンレン</t>
    </rPh>
    <phoneticPr fontId="2"/>
  </si>
  <si>
    <t xml:space="preserve"> その他（Others）</t>
    <rPh sb="3" eb="4">
      <t>タ</t>
    </rPh>
    <phoneticPr fontId="2"/>
  </si>
  <si>
    <t>合計/Total</t>
    <rPh sb="0" eb="2">
      <t>ゴウケイ</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</si>
  <si>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</si>
  <si>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従業員数 / Number of Employees</t>
  </si>
  <si>
    <t>-</t>
  </si>
  <si>
    <t>会社概要　Corporate Overview</t>
    <rPh sb="0" eb="2">
      <t>カイシャ</t>
    </rPh>
    <rPh sb="2" eb="4">
      <t>ガイヨウ</t>
    </rPh>
    <phoneticPr fontId="2"/>
  </si>
  <si>
    <t>●</t>
  </si>
  <si>
    <t>商号</t>
    <rPh sb="0" eb="2">
      <t>ショウゴウ</t>
    </rPh>
    <phoneticPr fontId="2"/>
  </si>
  <si>
    <t>日本オラクル株式会社</t>
    <rPh sb="0" eb="2">
      <t>ニホン</t>
    </rPh>
    <rPh sb="6" eb="8">
      <t>カブシキ</t>
    </rPh>
    <rPh sb="8" eb="10">
      <t>カイシャ</t>
    </rPh>
    <phoneticPr fontId="2"/>
  </si>
  <si>
    <t>●業績推移  Net Sales and Profit for the year</t>
    <rPh sb="1" eb="3">
      <t>ギョウセキ</t>
    </rPh>
    <rPh sb="3" eb="5">
      <t>スイイ</t>
    </rPh>
    <phoneticPr fontId="2"/>
  </si>
  <si>
    <t>Company Name</t>
  </si>
  <si>
    <t>Oracle Corporation Japan</t>
  </si>
  <si>
    <t>売上高 Net Sales</t>
    <rPh sb="0" eb="3">
      <t>ウリアゲダカ</t>
    </rPh>
    <phoneticPr fontId="2"/>
  </si>
  <si>
    <t>(百万円  Millions of Yen)</t>
    <rPh sb="1" eb="4">
      <t>ヒャクマンエン</t>
    </rPh>
    <phoneticPr fontId="2"/>
  </si>
  <si>
    <t>設立</t>
    <rPh sb="0" eb="2">
      <t>セツリツ</t>
    </rPh>
    <phoneticPr fontId="2"/>
  </si>
  <si>
    <t>1985年10月15日</t>
    <rPh sb="0" eb="5">
      <t>１９８５ネン</t>
    </rPh>
    <rPh sb="5" eb="8">
      <t>１０ガツ</t>
    </rPh>
    <rPh sb="8" eb="11">
      <t>１５ニチ</t>
    </rPh>
    <phoneticPr fontId="2"/>
  </si>
  <si>
    <t>Established</t>
  </si>
  <si>
    <t>October 15, 1985</t>
  </si>
  <si>
    <t>資本金</t>
    <rPh sb="0" eb="3">
      <t>シホンキン</t>
    </rPh>
    <phoneticPr fontId="2"/>
  </si>
  <si>
    <t>Paid-In Capital</t>
  </si>
  <si>
    <t>代表執行役</t>
    <rPh sb="0" eb="2">
      <t>ダイヒョウ</t>
    </rPh>
    <rPh sb="2" eb="4">
      <t>シッコウ</t>
    </rPh>
    <rPh sb="4" eb="5">
      <t>ヤク</t>
    </rPh>
    <phoneticPr fontId="2"/>
  </si>
  <si>
    <t>内海 寛子</t>
  </si>
  <si>
    <t>Representative Executive Officer</t>
  </si>
  <si>
    <t>Hiroko Utsumi</t>
  </si>
  <si>
    <t>従業員数</t>
    <rPh sb="0" eb="4">
      <t>ジュウギョウインスウ</t>
    </rPh>
    <phoneticPr fontId="2"/>
  </si>
  <si>
    <t>当期純利益 Profit for the year</t>
    <rPh sb="0" eb="2">
      <t>トウキ</t>
    </rPh>
    <rPh sb="2" eb="5">
      <t>ジュンリエキ</t>
    </rPh>
    <phoneticPr fontId="2"/>
  </si>
  <si>
    <t>Number of Employees</t>
  </si>
  <si>
    <t>事業内容</t>
    <rPh sb="0" eb="4">
      <t>ジギョウナイヨウ</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</si>
  <si>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</si>
  <si>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Scope of Business</t>
  </si>
  <si>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</si>
  <si>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</si>
  <si>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</si>
  <si>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</si>
  <si>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本社所在地</t>
    <rPh sb="0" eb="2">
      <t>ホンシャ</t>
    </rPh>
    <rPh sb="2" eb="5">
      <t>ショザイチ</t>
    </rPh>
    <phoneticPr fontId="2"/>
  </si>
  <si>
    <t>東京都港区北青山2-5-8　オラクル青山センター</t>
    <rPh sb="0" eb="3">
      <t>トウキョウト</t>
    </rPh>
    <rPh sb="3" eb="5">
      <t>ミナトク</t>
    </rPh>
    <rPh sb="5" eb="8">
      <t>キタアオヤマ</t>
    </rPh>
    <rPh sb="18" eb="20">
      <t>アオヤマ</t>
    </rPh>
    <phoneticPr fontId="2"/>
  </si>
  <si>
    <t>Head office</t>
  </si>
  <si>
    <t>Oracle Aoyama Center 2-5-8, Kita-Aoyama, Minato-ku, Tokyo</t>
  </si>
  <si>
    <t>2026年2月28日現在 / as of February 28, 2026</t>
    <rPh sb="4" eb="5">
      <t>ネン</t>
    </rPh>
    <phoneticPr fontId="2"/>
  </si>
  <si>
    <t>クラウドサービス
Cloud Services</t>
  </si>
  <si>
    <t>ライセンスサポート
License Support</t>
  </si>
  <si>
    <t>クラウドサービス＆ライセンスサポート
Cloud Services &amp; License Support</t>
  </si>
  <si>
    <t>11.9%</t>
  </si>
  <si>
    <t>11.7%</t>
  </si>
  <si>
    <t>9.6%</t>
  </si>
  <si>
    <t>11.1%</t>
  </si>
  <si>
    <t>クラウドライセンス＆オンプレミスライセンス
Cloud License &amp; On Premise License</t>
  </si>
  <si>
    <t>22.5%</t>
  </si>
  <si>
    <t>-5.9%</t>
  </si>
  <si>
    <t>-3.9%</t>
  </si>
  <si>
    <t>-5.6%</t>
  </si>
  <si>
    <t>-1.2%</t>
  </si>
  <si>
    <t>クラウド＆ライセンス
Cloud &amp; License</t>
  </si>
  <si>
    <t>7.0%</t>
  </si>
  <si>
    <t>4.8%</t>
  </si>
  <si>
    <t>8.0%</t>
  </si>
  <si>
    <t>ハードウェア･システムズ
Hardware</t>
  </si>
  <si>
    <t>20.1%</t>
  </si>
  <si>
    <t>-1.8%</t>
  </si>
  <si>
    <t>2.7%</t>
  </si>
  <si>
    <t>4.0%</t>
  </si>
  <si>
    <t>サービス
Service</t>
  </si>
  <si>
    <t>-1.4%</t>
  </si>
  <si>
    <t>0.9%</t>
  </si>
  <si>
    <t>11.0%</t>
  </si>
  <si>
    <t>25.2%</t>
  </si>
  <si>
    <t>8.4%</t>
  </si>
  <si>
    <t>12.5%</t>
  </si>
  <si>
    <t>5.8%</t>
  </si>
  <si>
    <t>7.3%</t>
  </si>
  <si>
    <t>6.2%</t>
  </si>
  <si>
    <t>14.2%</t>
  </si>
  <si>
    <t>5.7%</t>
  </si>
  <si>
    <t>2.9%</t>
  </si>
  <si>
    <t>7.7%</t>
  </si>
  <si>
    <t>20.8%</t>
  </si>
  <si>
    <t>-30.0%</t>
  </si>
  <si>
    <t>19.5%</t>
  </si>
  <si>
    <t>32.3%</t>
  </si>
  <si>
    <t>10.5%</t>
  </si>
  <si>
    <t>-16.7%</t>
  </si>
  <si>
    <t>-12.3%</t>
  </si>
  <si>
    <t>2.1%</t>
  </si>
  <si>
    <t>0.2%</t>
  </si>
  <si>
    <t>-12.2%</t>
  </si>
  <si>
    <t>-2.2%</t>
  </si>
  <si>
    <t>13.6%</t>
  </si>
  <si>
    <t>30.8%</t>
  </si>
  <si>
    <t>14.4%</t>
  </si>
  <si>
    <t>8.3%</t>
  </si>
  <si>
    <t>1.5%</t>
  </si>
  <si>
    <t xml:space="preserve"> ハードウェア・システムズ仕入原価  (Hardware Purchasing Expenses)</t>
    <rPh sb="13" eb="15">
      <t>ゲンカ</t>
    </rPh>
    <rPh sb="15" eb="16">
      <t>　</t>
    </rPh>
    <rPh sb="16" eb="17">
      <t>（</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</si>
  <si>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</si>
  <si>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</si>
  <si>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3.直近業績要約　Summary of Recent Operating Results</t>
    <rPh sb="2" eb="4">
      <t>チョッキン</t>
    </rPh>
    <rPh sb="4" eb="6">
      <t>ギョウセキ</t>
    </rPh>
    <rPh sb="6" eb="8">
      <t>ヨウヤク</t>
    </rPh>
    <phoneticPr fontId="2"/>
  </si>
  <si>
    <t>（百万円 Millions of Yen）</t>
    <rPh sb="1" eb="4">
      <t>ヒャクマンエン</t>
    </rPh>
    <phoneticPr fontId="2"/>
  </si>
  <si>
    <t>売上高 / Total Revenue</t>
    <rPh sb="0" eb="3">
      <t>ウリアゲダカ</t>
    </rPh>
    <phoneticPr fontId="2"/>
  </si>
  <si>
    <t>売上原価 / Cost of Goods and Sales</t>
    <rPh sb="0" eb="2">
      <t>ウリアゲ</t>
    </rPh>
    <rPh sb="2" eb="4">
      <t>ゲンカ</t>
    </rPh>
    <phoneticPr fontId="2"/>
  </si>
  <si>
    <t>売上総利益 / Gross Profit</t>
    <rPh sb="0" eb="2">
      <t>ウリアゲ</t>
    </rPh>
    <rPh sb="2" eb="5">
      <t>ソウリエキ</t>
    </rPh>
    <phoneticPr fontId="2"/>
  </si>
  <si>
    <t>販管費 / SG&amp;A</t>
    <rPh sb="0" eb="1">
      <t>ハン</t>
    </rPh>
    <rPh sb="1" eb="2">
      <t>カン</t>
    </rPh>
    <rPh sb="2" eb="3">
      <t>ヒ</t>
    </rPh>
    <phoneticPr fontId="2"/>
  </si>
  <si>
    <t>営業利益率 / Operating Income Margin</t>
    <rPh sb="0" eb="2">
      <t>エイギョウ</t>
    </rPh>
    <rPh sb="2" eb="5">
      <t>リエキリツ</t>
    </rPh>
    <phoneticPr fontId="2"/>
  </si>
  <si>
    <t>34.7%</t>
  </si>
  <si>
    <t>32.1%</t>
  </si>
  <si>
    <t>33.0%</t>
  </si>
  <si>
    <t>32.0%</t>
  </si>
  <si>
    <t>32.6%</t>
  </si>
  <si>
    <t>32.8%</t>
  </si>
  <si>
    <t>34.1%</t>
  </si>
  <si>
    <t>34.0%</t>
  </si>
  <si>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</si>
  <si>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</si>
  <si>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</si>
  <si>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</si>
  <si>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</si>
  <si>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</si>
  <si>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</si>
  <si>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r>
      <t>設備投資額 / Capital expenditure</t>
    </r>
    <r>
      <rPr>
        <vertAlign val="superscript"/>
        <sz val="13"/>
        <rFont val="メイリオ"/>
        <family val="3"/>
        <charset val="128"/>
      </rPr>
      <t>*</t>
    </r>
  </si>
  <si>
    <t>減価償却費 / Depreciation</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</si>
  <si>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</si>
  <si>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</si>
  <si>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t>従業員数 / Number of Employees</t>
    <rPh sb="0" eb="3">
      <t>ジュウギョウイン</t>
    </rPh>
    <rPh sb="3" eb="4">
      <t>スウ</t>
    </rPh>
    <phoneticPr fontId="2"/>
  </si>
  <si>
    <t>＊ 設備投資額には差入保証金を含みます / Capital expenditure includes lease deposits.</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</si>
  <si>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</si>
  <si>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 FY24配当金内訳は、普通配当174円、特別配当500円、合計674円です。 / Breakdown of Dividends for May 2024; a normal dividend of 174 yen, a special dividend of 500 yen and total dividend is 674 yen.</t>
  </si>
  <si>
    <t>業績予想 / FY26 Forecast</t>
    <rPh sb="0" eb="2">
      <t>ギョウセキ</t>
    </rPh>
    <rPh sb="2" eb="4">
      <t>ヨソウ</t>
    </rPh>
    <phoneticPr fontId="1"/>
  </si>
  <si>
    <t>(%)</t>
  </si>
  <si>
    <t>Low</t>
  </si>
  <si>
    <t>High</t>
  </si>
  <si>
    <t>売上高 / Revenue</t>
    <rPh sb="0" eb="2">
      <t>ウリアゲ</t>
    </rPh>
    <rPh sb="2" eb="3">
      <t>ダカ</t>
    </rPh>
    <phoneticPr fontId="1"/>
  </si>
  <si>
    <t>1株当たり当期純利益 (円) / EPS (Yen)</t>
    <rPh sb="1" eb="2">
      <t>カブ</t>
    </rPh>
    <rPh sb="2" eb="3">
      <t>ア</t>
    </rPh>
    <rPh sb="5" eb="7">
      <t>トウキ</t>
    </rPh>
    <rPh sb="7" eb="10">
      <t>ジュンリエキ</t>
    </rPh>
    <rPh sb="12" eb="13">
      <t>エン</t>
    </rPh>
    <phoneticPr fontId="1"/>
  </si>
  <si>
    <t>＊ 予想実効税率 estimation of effective tax rate＝30.7％</t>
    <rPh sb="2" eb="4">
      <t>ヨソウ</t>
    </rPh>
    <rPh sb="4" eb="6">
      <t>ジッコウ</t>
    </rPh>
    <rPh sb="6" eb="8">
      <t>ゼイリツ</t>
    </rPh>
    <phoneticPr fontId="2"/>
  </si>
  <si>
    <t>5.貸借対照表要約　Summary of Balance Sheet</t>
    <rPh sb="2" eb="4">
      <t>タイシャク</t>
    </rPh>
    <rPh sb="4" eb="7">
      <t>タイショウヒョウ</t>
    </rPh>
    <rPh sb="7" eb="9">
      <t>ヨウヤク</t>
    </rPh>
    <phoneticPr fontId="2"/>
  </si>
  <si>
    <t>（百万円 Millions of Yen）</t>
  </si>
  <si>
    <t>資産の部　Assets</t>
    <rPh sb="0" eb="2">
      <t>シサン</t>
    </rPh>
    <rPh sb="3" eb="4">
      <t>ブ</t>
    </rPh>
    <phoneticPr fontId="2"/>
  </si>
  <si>
    <t>負債･資本の部　Liabilities and Net Assets</t>
    <rPh sb="0" eb="2">
      <t>フサイ</t>
    </rPh>
    <rPh sb="3" eb="5">
      <t>シホン</t>
    </rPh>
    <rPh sb="6" eb="7">
      <t>ブ</t>
    </rPh>
    <phoneticPr fontId="2"/>
  </si>
  <si>
    <t>決算期  Period</t>
    <rPh sb="0" eb="3">
      <t>ケッサンキ</t>
    </rPh>
    <phoneticPr fontId="2"/>
  </si>
  <si>
    <t>2022/5</t>
  </si>
  <si>
    <t>2023/5</t>
  </si>
  <si>
    <t>2024/5</t>
  </si>
  <si>
    <t>2025/5</t>
  </si>
  <si>
    <t>2026/2</t>
  </si>
  <si>
    <t>流動資産</t>
    <rPh sb="0" eb="2">
      <t>リュウドウ</t>
    </rPh>
    <rPh sb="2" eb="4">
      <t>シサン</t>
    </rPh>
    <phoneticPr fontId="2"/>
  </si>
  <si>
    <t>流動負債</t>
    <rPh sb="0" eb="2">
      <t>リュウドウ</t>
    </rPh>
    <rPh sb="2" eb="4">
      <t>フサイ</t>
    </rPh>
    <phoneticPr fontId="2"/>
  </si>
  <si>
    <t>Current assets</t>
  </si>
  <si>
    <t>Current liabilities</t>
  </si>
  <si>
    <t xml:space="preserve">現金及び預金  </t>
    <rPh sb="0" eb="2">
      <t>ゲンキン</t>
    </rPh>
    <rPh sb="2" eb="3">
      <t>オヨ</t>
    </rPh>
    <rPh sb="4" eb="6">
      <t>ヨキン</t>
    </rPh>
    <phoneticPr fontId="2"/>
  </si>
  <si>
    <t>買掛金</t>
    <rPh sb="0" eb="3">
      <t>カイカケキン</t>
    </rPh>
    <phoneticPr fontId="2"/>
  </si>
  <si>
    <t>Cash and deposits</t>
  </si>
  <si>
    <t>Account payable</t>
  </si>
  <si>
    <t xml:space="preserve">売掛金  </t>
    <rPh sb="0" eb="3">
      <t>ウリカケキン</t>
    </rPh>
    <phoneticPr fontId="2"/>
  </si>
  <si>
    <t>未払金</t>
    <rPh sb="0" eb="3">
      <t>ミバライキン</t>
    </rPh>
    <phoneticPr fontId="2"/>
  </si>
  <si>
    <t>Accounts receivable</t>
  </si>
  <si>
    <t>Accrued amount payable</t>
  </si>
  <si>
    <t>前渡金</t>
    <rPh sb="0" eb="3">
      <t>マエワタシキン</t>
    </rPh>
    <phoneticPr fontId="1"/>
  </si>
  <si>
    <t>*</t>
  </si>
  <si>
    <t>未払法人税等</t>
    <rPh sb="0" eb="2">
      <t>ミバラ</t>
    </rPh>
    <rPh sb="2" eb="5">
      <t>ホウジンゼイ</t>
    </rPh>
    <rPh sb="5" eb="6">
      <t>トウ</t>
    </rPh>
    <phoneticPr fontId="2"/>
  </si>
  <si>
    <t>Advance payments to suppliers</t>
  </si>
  <si>
    <t>Accrued income taxes</t>
  </si>
  <si>
    <t>前払費用</t>
    <rPh sb="0" eb="2">
      <t>マエバライ</t>
    </rPh>
    <rPh sb="2" eb="4">
      <t>ヒヨウ</t>
    </rPh>
    <phoneticPr fontId="2"/>
  </si>
  <si>
    <t>未払消費税等</t>
    <rPh sb="0" eb="2">
      <t>ミバラ</t>
    </rPh>
    <rPh sb="2" eb="4">
      <t>ショウヒ</t>
    </rPh>
    <rPh sb="4" eb="5">
      <t>ジギョウゼイ</t>
    </rPh>
    <rPh sb="5" eb="6">
      <t>トウ</t>
    </rPh>
    <phoneticPr fontId="2"/>
  </si>
  <si>
    <t xml:space="preserve">* </t>
  </si>
  <si>
    <t>Prepaid expenses</t>
  </si>
  <si>
    <t>Accrued consumption tax</t>
  </si>
  <si>
    <t>未収入金</t>
    <rPh sb="0" eb="2">
      <t>ミシュウ</t>
    </rPh>
    <rPh sb="2" eb="4">
      <t>ニュウキン</t>
    </rPh>
    <phoneticPr fontId="2"/>
  </si>
  <si>
    <t>契約負債</t>
    <rPh sb="0" eb="2">
      <t>ケイヤク</t>
    </rPh>
    <rPh sb="2" eb="4">
      <t>フサイ</t>
    </rPh>
    <phoneticPr fontId="2"/>
  </si>
  <si>
    <t>Accounts receivable-other</t>
  </si>
  <si>
    <t>Contract liabilities</t>
  </si>
  <si>
    <t>関係会社短期貸付金</t>
    <rPh sb="0" eb="2">
      <t>カンケイ</t>
    </rPh>
    <rPh sb="2" eb="4">
      <t>カイシャ</t>
    </rPh>
    <rPh sb="4" eb="6">
      <t>タンキ</t>
    </rPh>
    <rPh sb="6" eb="8">
      <t>カシツケ</t>
    </rPh>
    <rPh sb="8" eb="9">
      <t>キン</t>
    </rPh>
    <phoneticPr fontId="2"/>
  </si>
  <si>
    <t xml:space="preserve">- </t>
  </si>
  <si>
    <t>その他</t>
    <rPh sb="0" eb="3">
      <t>ソノタ</t>
    </rPh>
    <phoneticPr fontId="2"/>
  </si>
  <si>
    <t>Short-term loans receivable from subsidiaries and associates</t>
  </si>
  <si>
    <t>Others</t>
  </si>
  <si>
    <t xml:space="preserve">その他  </t>
    <rPh sb="0" eb="3">
      <t>ソノタ</t>
    </rPh>
    <phoneticPr fontId="2"/>
  </si>
  <si>
    <t>固定負債</t>
    <rPh sb="0" eb="2">
      <t>コテイ</t>
    </rPh>
    <rPh sb="2" eb="4">
      <t>フサイ</t>
    </rPh>
    <phoneticPr fontId="2"/>
  </si>
  <si>
    <t>Noncurrent liabilities</t>
  </si>
  <si>
    <t xml:space="preserve">貸倒引当金  </t>
    <rPh sb="0" eb="5">
      <t>カシダオレヒキアテキン</t>
    </rPh>
    <phoneticPr fontId="2"/>
  </si>
  <si>
    <t>Allowance for doubtful accounts</t>
  </si>
  <si>
    <t>負債合計</t>
    <rPh sb="0" eb="2">
      <t>フサイ</t>
    </rPh>
    <rPh sb="2" eb="4">
      <t>ゴウケイ</t>
    </rPh>
    <phoneticPr fontId="2"/>
  </si>
  <si>
    <t xml:space="preserve">固定資産 / Fixed assets </t>
    <rPh sb="0" eb="2">
      <t>コテイ</t>
    </rPh>
    <rPh sb="2" eb="4">
      <t>シサン</t>
    </rPh>
    <phoneticPr fontId="2"/>
  </si>
  <si>
    <t>Total liabilities</t>
  </si>
  <si>
    <r>
      <t xml:space="preserve">有形固定資産 / </t>
    </r>
    <r>
      <rPr>
        <sz val="11"/>
        <rFont val="メイリオ"/>
        <family val="3"/>
        <charset val="128"/>
      </rPr>
      <t>Property and equipment</t>
    </r>
    <rPh sb="0" eb="2">
      <t>ユウケイ</t>
    </rPh>
    <rPh sb="2" eb="6">
      <t>コテイシサン</t>
    </rPh>
    <phoneticPr fontId="2"/>
  </si>
  <si>
    <t>土地</t>
    <rPh sb="0" eb="2">
      <t>トチ</t>
    </rPh>
    <phoneticPr fontId="2"/>
  </si>
  <si>
    <t>Land</t>
  </si>
  <si>
    <t>Capital stock</t>
  </si>
  <si>
    <t xml:space="preserve">建物及び建物付属設備  </t>
    <rPh sb="0" eb="2">
      <t>タテモノ</t>
    </rPh>
    <rPh sb="2" eb="3">
      <t>オヨ</t>
    </rPh>
    <rPh sb="4" eb="6">
      <t>タテモノ</t>
    </rPh>
    <rPh sb="6" eb="8">
      <t>フゾク</t>
    </rPh>
    <rPh sb="8" eb="10">
      <t>セツビ</t>
    </rPh>
    <phoneticPr fontId="2"/>
  </si>
  <si>
    <t>資本剰余金</t>
    <rPh sb="0" eb="2">
      <t>シホン</t>
    </rPh>
    <rPh sb="2" eb="5">
      <t>ジョウヨキン</t>
    </rPh>
    <phoneticPr fontId="2"/>
  </si>
  <si>
    <t>Buildings and accessory equipment</t>
  </si>
  <si>
    <t>Capital surplus</t>
  </si>
  <si>
    <t>器具及び備品</t>
    <rPh sb="0" eb="2">
      <t>キグ</t>
    </rPh>
    <rPh sb="2" eb="3">
      <t>オヨ</t>
    </rPh>
    <rPh sb="4" eb="6">
      <t>ビヒン</t>
    </rPh>
    <phoneticPr fontId="2"/>
  </si>
  <si>
    <t>利益剰余金</t>
    <rPh sb="0" eb="2">
      <t>リエキ</t>
    </rPh>
    <rPh sb="2" eb="5">
      <t>ジョウヨキン</t>
    </rPh>
    <phoneticPr fontId="2"/>
  </si>
  <si>
    <t>Tools, furniture and fixtures</t>
  </si>
  <si>
    <t>Retained earnings</t>
  </si>
  <si>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</si>
  <si>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</si>
  <si>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投資その他の資産</t>
    <rPh sb="0" eb="2">
      <t>トウシ</t>
    </rPh>
    <rPh sb="4" eb="5">
      <t>タ</t>
    </rPh>
    <rPh sb="6" eb="8">
      <t>シサン</t>
    </rPh>
    <phoneticPr fontId="2"/>
  </si>
  <si>
    <t>Treasury stock</t>
  </si>
  <si>
    <t>Investments and other assets</t>
  </si>
  <si>
    <t>株主資本合計</t>
  </si>
  <si>
    <t>関係会社長期貸付金</t>
  </si>
  <si>
    <t>Total shareholders' equity</t>
  </si>
  <si>
    <t>Long-term loans receivable from subsidiaries and associates</t>
  </si>
  <si>
    <t>新株予約権</t>
    <rPh sb="0" eb="2">
      <t>シンカブ</t>
    </rPh>
    <rPh sb="2" eb="4">
      <t>ヨヤク</t>
    </rPh>
    <rPh sb="4" eb="5">
      <t>ケン</t>
    </rPh>
    <phoneticPr fontId="2"/>
  </si>
  <si>
    <t>その他</t>
    <rPh sb="2" eb="3">
      <t>タ</t>
    </rPh>
    <phoneticPr fontId="2"/>
  </si>
  <si>
    <t>Stock acquisition right</t>
  </si>
  <si>
    <t>純資産合計</t>
  </si>
  <si>
    <t>Total net assets</t>
  </si>
  <si>
    <t xml:space="preserve">資産合計  </t>
    <rPh sb="0" eb="2">
      <t>シサン</t>
    </rPh>
    <rPh sb="2" eb="4">
      <t>ゴウケイ</t>
    </rPh>
    <phoneticPr fontId="2"/>
  </si>
  <si>
    <t>負債・純資産合計</t>
  </si>
  <si>
    <t>Total assets</t>
  </si>
  <si>
    <t>Total liabilities and net assets</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</si>
  <si>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</si>
  <si>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</si>
  <si>
    <t>28.7%</t>
  </si>
  <si>
    <t>-7.6%</t>
  </si>
  <si>
    <t>3.8%</t>
  </si>
  <si>
    <t>3.9%</t>
  </si>
  <si>
    <t>-4.1%</t>
  </si>
  <si>
    <t>-5.2%</t>
  </si>
  <si>
    <t>-10.2%</t>
  </si>
  <si>
    <t>6.9%</t>
  </si>
  <si>
    <t>3.5%</t>
  </si>
  <si>
    <t>3.7%</t>
  </si>
  <si>
    <t>7.1%</t>
  </si>
  <si>
    <t>-3.8%</t>
  </si>
  <si>
    <t>12.0%</t>
  </si>
  <si>
    <t>4.9%</t>
  </si>
  <si>
    <t>-8.0%</t>
  </si>
  <si>
    <t>-6.3%</t>
  </si>
  <si>
    <t>-14.3%</t>
  </si>
  <si>
    <t>3.6%</t>
  </si>
  <si>
    <t>9.8%</t>
  </si>
  <si>
    <t>8.5%</t>
  </si>
  <si>
    <t>21.3%</t>
  </si>
  <si>
    <t>59.8%</t>
  </si>
  <si>
    <t>17.2%</t>
  </si>
  <si>
    <t>-4.8%</t>
  </si>
  <si>
    <t>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</si>
</sst>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23" formatCode="\$#,##0_);\(\$#,##0\)"/>
    <numFmt numFmtId="25" formatCode="\$#,##0.00_);\(\$#,##0.00\)"/>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quot;¥&quot;#,##0_);[Red]\(&quot;¥&quot;#,##0\)"/>
    <numFmt numFmtId="181" formatCode="_(&quot;¥&quot;* #,##0_);_(&quot;¥&quot;* \(#,##0\);_(&quot;¥&quot;* &quot;-&quot;_);_(@_)"/>
    <numFmt numFmtId="182" formatCode="_(&quot;¥&quot;* #,##0.00_);_(&quot;¥&quot;* \(#,##0.00\);_(&quot;¥&quot;* &quot;-&quot;??_);_(@_)"/>
    <numFmt numFmtId="183" formatCode="#,##0;&quot;▲ &quot;#,##0"/>
    <numFmt numFmtId="184" formatCode="0.0%"/>
    <numFmt numFmtId="185" formatCode="yyyy/m"/>
    <numFmt numFmtId="186" formatCode="0_);\(0\)"/>
    <numFmt numFmtId="187" formatCode="#,##0;\-#,##0;&quot;-&quot;"/>
    <numFmt numFmtId="188" formatCode="&quot;SFr.&quot;#,##0;[Red]&quot;SFr.&quot;\-#,##0"/>
    <numFmt numFmtId="189" formatCode="&quot;¥&quot;#,##0_);\(&quot;¥&quot;#,##0\)"/>
    <numFmt numFmtId="190" formatCode="0.00_);\(0.00\)"/>
    <numFmt numFmtId="191" formatCode="_-* #,##0_-;\-* #,##0_-;_-* &quot;-&quot;_-;_-@_-"/>
    <numFmt numFmtId="192" formatCode="_-* #,##0.00_-;\-* #,##0.00_-;_-* &quot;-&quot;??_-;_-@_-"/>
    <numFmt numFmtId="193" formatCode="_-&quot;¥&quot;* #,##0_-;\-&quot;¥&quot;* #,##0_-;_-&quot;¥&quot;* &quot;-&quot;_-;_-@_-"/>
    <numFmt numFmtId="194" formatCode="_-&quot;¥&quot;* #,##0.00_-;\-&quot;¥&quot;* #,##0.00_-;_-&quot;¥&quot;* &quot;-&quot;??_-;_-@_-"/>
    <numFmt numFmtId="195" formatCode="&quot;¥&quot;#,##0.00;[Red]&quot;¥&quot;&quot;¥&quot;&quot;¥&quot;&quot;¥&quot;&quot;¥&quot;&quot;¥&quot;&quot;¥&quot;&quot;¥&quot;&quot;¥&quot;&quot;¥&quot;&quot;¥&quot;&quot;¥&quot;\-#,##0.00"/>
    <numFmt numFmtId="196" formatCode="d/&quot;기&quot;&quot;정&quot;&quot;치&quot;"/>
    <numFmt numFmtId="197" formatCode="&quot;(&quot;#,##0&quot;)&quot;;&quot;-&quot;#,##0"/>
    <numFmt numFmtId="198" formatCode="_ &quot;¥&quot;* #,##0.00_ ;_ &quot;¥&quot;* &quot;¥&quot;&quot;¥&quot;&quot;¥&quot;&quot;¥&quot;&quot;¥&quot;&quot;¥&quot;&quot;¥&quot;&quot;¥&quot;&quot;¥&quot;&quot;¥&quot;&quot;¥&quot;&quot;¥&quot;&quot;¥&quot;\-#,##0.00_ ;_ &quot;¥&quot;* &quot;-&quot;??_ ;_ @_ "/>
    <numFmt numFmtId="199" formatCode="#,##0;&quot;(&quot;&quot;-&quot;&quot;)&quot;#,##0"/>
    <numFmt numFmtId="200" formatCode="&quot;(&quot;#,##0&quot;)&quot;;&quot;(&quot;&quot;-&quot;&quot;)&quot;&quot;(&quot;#,##0&quot;)&quot;"/>
    <numFmt numFmtId="201" formatCode="#,##0;#,##0"/>
    <numFmt numFmtId="202" formatCode="&quot;(&quot;#,##0&quot;)&quot;;&quot;(&quot;#,##0&quot;)&quot;"/>
    <numFmt numFmtId="203" formatCode="#,##0.0_);\(#,##0.0\)"/>
    <numFmt numFmtId="204" formatCode="###.#####"/>
    <numFmt numFmtId="205" formatCode="&quot;¥&quot;#,##0;&quot;¥&quot;&quot;¥&quot;&quot;¥&quot;&quot;¥&quot;\-#,##0"/>
    <numFmt numFmtId="206" formatCode="@\ \ \ \ \ \ \ \ \ \ \ \ \ \ "/>
    <numFmt numFmtId="207" formatCode="#,##0;&quot;△&quot;#,##0"/>
    <numFmt numFmtId="208" formatCode="#,##0;\(\-\)#,##0;\-"/>
    <numFmt numFmtId="209" formatCode="&quot;¥&quot;#,##0.00;[Red]&quot;¥&quot;&quot;¥&quot;&quot;¥&quot;&quot;¥&quot;&quot;¥&quot;&quot;¥&quot;&quot;¥&quot;\-#,##0.00"/>
    <numFmt numFmtId="210" formatCode="&quot;¥&quot;#,##0;[Red]&quot;¥&quot;&quot;¥&quot;&quot;¥&quot;&quot;¥&quot;\-#,##0"/>
    <numFmt numFmtId="211" formatCode="\$#,###\ "/>
    <numFmt numFmtId="212" formatCode="&quot;$&quot;#,###"/>
    <numFmt numFmtId="213" formatCode="&quot;¥&quot;#,##0.00;&quot;¥&quot;&quot;¥&quot;&quot;¥&quot;&quot;¥&quot;\-#,##0.00"/>
    <numFmt numFmtId="214" formatCode="_-&quot;$&quot;\ * #,##0_-;\-&quot;$&quot;\ * #,##0_-;_-&quot;$&quot;\ * &quot;-&quot;_-;_-@_-"/>
    <numFmt numFmtId="215" formatCode="_-&quot;$&quot;\ * #,##0.00_-;\-&quot;$&quot;\ * #,##0.00_-;_-&quot;$&quot;\ * &quot;-&quot;??_-;_-@_-"/>
    <numFmt numFmtId="216" formatCode="General_)"/>
    <numFmt numFmtId="217" formatCode="_-* #,##0\ &quot;F&quot;_-;\-* #,##0\ &quot;F&quot;_-;_-* &quot;-&quot;\ &quot;F&quot;_-;_-@_-"/>
    <numFmt numFmtId="218" formatCode="_-* #,##0\ _F_-;\-* #,##0\ _F_-;_-* &quot;-&quot;\ _F_-;_-@_-"/>
    <numFmt numFmtId="219" formatCode="#,##0.00&quot; F&quot;;[Red]\-#,##0.00&quot; F&quot;"/>
    <numFmt numFmtId="220" formatCode="#,##0.0;[Red]\-#,##0.0"/>
    <numFmt numFmtId="221" formatCode="#,##0&quot;名&quot;"/>
    <numFmt numFmtId="222" formatCode="#,###&quot;百万円 (million yen) &quot;"/>
  </numFmts>
  <fonts count="126">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6"/>
      <color theme="1"/>
      <name val="Meiryo UI"/>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medium">
        <color auto="1"/>
      </left>
      <right/>
      <top/>
      <bottom style="medium">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right style="medium">
        <color auto="1"/>
      </right>
      <top style="thin">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theme="0"/>
      </right>
      <top style="thin">
        <color auto="1"/>
      </top>
      <bottom style="medium">
        <color auto="1"/>
      </bottom>
      <diagonal/>
    </border>
    <border>
      <left style="thin">
        <color theme="0"/>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medium">
        <color auto="1"/>
      </left>
      <right style="thin">
        <color auto="1"/>
      </right>
      <top style="thin">
        <color auto="1"/>
      </top>
      <bottom style="hair">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style="hair">
        <color auto="1"/>
      </bottom>
      <diagonal/>
    </border>
    <border>
      <left/>
      <right style="thin">
        <color auto="1"/>
      </right>
      <top style="medium">
        <color auto="1"/>
      </top>
      <bottom style="thin">
        <color auto="1"/>
      </bottom>
      <diagonal/>
    </border>
  </borders>
  <cellStyleXfs count="340">
    <xf numFmtId="0" fontId="0" fillId="0" borderId="0"/>
    <xf numFmtId="9" fontId="125" fillId="0" borderId="0" applyFont="0" applyFill="0" applyBorder="0" applyAlignment="0" applyProtection="0"/>
    <xf numFmtId="38" fontId="125" fillId="0" borderId="0" applyFont="0" applyFill="0" applyBorder="0" applyAlignment="0" applyProtection="0"/>
    <xf numFmtId="0" fontId="4" fillId="0" borderId="0" applyNumberFormat="0" applyFill="0" applyBorder="0">
      <protection locked="0"/>
    </xf>
    <xf numFmtId="191" fontId="48" fillId="0" borderId="0"/>
    <xf numFmtId="191"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1" fontId="48" fillId="0" borderId="0"/>
    <xf numFmtId="191" fontId="48" fillId="0" borderId="0"/>
    <xf numFmtId="191" fontId="48" fillId="0" borderId="0"/>
    <xf numFmtId="191" fontId="48" fillId="0" borderId="0"/>
    <xf numFmtId="191" fontId="48" fillId="0" borderId="0"/>
    <xf numFmtId="0" fontId="5" fillId="0" borderId="0"/>
    <xf numFmtId="0" fontId="29" fillId="0" borderId="0"/>
    <xf numFmtId="0" fontId="47" fillId="0" borderId="0"/>
    <xf numFmtId="0" fontId="5" fillId="0" borderId="0"/>
    <xf numFmtId="0" fontId="47" fillId="0" borderId="0"/>
    <xf numFmtId="191"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4"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7" fontId="27" fillId="0" borderId="0" applyFont="0" applyFill="0" applyBorder="0" applyAlignment="0" applyProtection="0"/>
    <xf numFmtId="193" fontId="56" fillId="0" borderId="0" applyFont="0" applyFill="0" applyBorder="0" applyAlignment="0" applyProtection="0"/>
    <xf numFmtId="181" fontId="57" fillId="0" borderId="0" applyFont="0" applyFill="0" applyBorder="0" applyAlignment="0" applyProtection="0"/>
    <xf numFmtId="194" fontId="56" fillId="0" borderId="0" applyFont="0" applyFill="0" applyBorder="0" applyAlignment="0" applyProtection="0"/>
    <xf numFmtId="182" fontId="57" fillId="0" borderId="0" applyFont="0" applyFill="0" applyBorder="0" applyAlignment="0" applyProtection="0"/>
    <xf numFmtId="0" fontId="50" fillId="0" borderId="0"/>
    <xf numFmtId="191" fontId="56" fillId="0" borderId="0" applyFont="0" applyFill="0" applyBorder="0" applyAlignment="0" applyProtection="0"/>
    <xf numFmtId="177" fontId="58" fillId="0" borderId="0" applyFont="0" applyFill="0" applyBorder="0" applyAlignment="0" applyProtection="0"/>
    <xf numFmtId="192" fontId="56" fillId="0" borderId="0" applyFont="0" applyFill="0" applyBorder="0" applyAlignment="0" applyProtection="0"/>
    <xf numFmtId="179"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7"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9"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5" fontId="48" fillId="0" borderId="0"/>
    <xf numFmtId="37" fontId="27" fillId="0" borderId="0" applyFont="0" applyFill="0" applyAlignment="0" applyProtection="0"/>
    <xf numFmtId="3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14" fontId="31" fillId="0" borderId="0" applyFont="0" applyFill="0" applyBorder="0" applyAlignment="0" applyProtection="0"/>
    <xf numFmtId="196" fontId="48" fillId="0" borderId="0" applyFont="0" applyFill="0" applyBorder="0" applyAlignment="0" applyProtection="0"/>
    <xf numFmtId="197" fontId="48" fillId="0" borderId="0" applyFont="0" applyFill="0" applyBorder="0" applyAlignment="0" applyProtection="0"/>
    <xf numFmtId="198" fontId="48" fillId="0" borderId="0"/>
    <xf numFmtId="0" fontId="70" fillId="0" borderId="0" applyNumberFormat="0"/>
    <xf numFmtId="0" fontId="32" fillId="0" borderId="0">
      <alignment horizontal="left"/>
    </xf>
    <xf numFmtId="0" fontId="5" fillId="0" borderId="0" applyFont="0" applyFill="0" applyBorder="0" applyAlignment="0" applyProtection="0"/>
    <xf numFmtId="37"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1" fontId="5" fillId="0" borderId="0" applyFont="0" applyFill="0" applyBorder="0" applyAlignment="0" applyProtection="0"/>
    <xf numFmtId="192" fontId="5" fillId="0" borderId="0" applyFont="0" applyFill="0" applyBorder="0" applyAlignment="0" applyProtection="0"/>
    <xf numFmtId="218"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4" fontId="5" fillId="0" borderId="0" applyFont="0" applyFill="0" applyBorder="0" applyAlignment="0" applyProtection="0"/>
    <xf numFmtId="215" fontId="5" fillId="0" borderId="0" applyFont="0" applyFill="0" applyBorder="0" applyAlignment="0" applyProtection="0"/>
    <xf numFmtId="217" fontId="47" fillId="0" borderId="0" applyFont="0" applyFill="0" applyBorder="0" applyAlignment="0" applyProtection="0"/>
    <xf numFmtId="219"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6" fontId="27" fillId="0" borderId="0" applyFont="0" applyFill="0" applyBorder="0" applyAlignment="0" applyProtection="0"/>
    <xf numFmtId="0" fontId="76" fillId="0" borderId="0"/>
    <xf numFmtId="188" fontId="125" fillId="0" borderId="0"/>
    <xf numFmtId="199" fontId="47" fillId="0" borderId="0" applyFont="0" applyFill="0" applyBorder="0" applyProtection="0"/>
    <xf numFmtId="200" fontId="47" fillId="0" borderId="0" applyFont="0" applyFill="0" applyBorder="0" applyProtection="0"/>
    <xf numFmtId="201" fontId="47" fillId="0" borderId="0" applyFont="0" applyFill="0" applyBorder="0" applyProtection="0"/>
    <xf numFmtId="202" fontId="47" fillId="0" borderId="0" applyFont="0" applyFill="0" applyBorder="0" applyProtection="0"/>
    <xf numFmtId="188"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3"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5"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6"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76" fontId="5" fillId="0" borderId="0" applyFont="0" applyFill="0" applyBorder="0" applyAlignment="0" applyProtection="0"/>
    <xf numFmtId="178"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5" fontId="49" fillId="0" borderId="0">
      <protection locked="0"/>
    </xf>
    <xf numFmtId="0" fontId="89" fillId="0" borderId="0">
      <protection locked="0"/>
    </xf>
    <xf numFmtId="0" fontId="89" fillId="0" borderId="0">
      <protection locked="0"/>
    </xf>
    <xf numFmtId="0" fontId="52" fillId="0" borderId="0"/>
    <xf numFmtId="207" fontId="5" fillId="0" borderId="10">
      <alignment horizontal="right" vertical="center" shrinkToFit="1"/>
    </xf>
    <xf numFmtId="38" fontId="45" fillId="0" borderId="0" applyFont="0" applyFill="0" applyBorder="0" applyAlignment="0" applyProtection="0"/>
    <xf numFmtId="0" fontId="90" fillId="0" borderId="0">
      <protection locked="0"/>
    </xf>
    <xf numFmtId="208" fontId="55" fillId="0" borderId="0" applyBorder="0">
      <alignment vertical="center"/>
    </xf>
    <xf numFmtId="0" fontId="55" fillId="0" borderId="0" applyNumberFormat="0" applyFont="0" applyBorder="0" applyAlignment="0"/>
    <xf numFmtId="179" fontId="5" fillId="0" borderId="0" applyFont="0" applyFill="0" applyBorder="0" applyAlignment="0" applyProtection="0"/>
    <xf numFmtId="0" fontId="90" fillId="0" borderId="0">
      <protection locked="0"/>
    </xf>
    <xf numFmtId="180" fontId="125"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6" fontId="55" fillId="0" borderId="0"/>
    <xf numFmtId="206" fontId="55" fillId="0" borderId="0"/>
    <xf numFmtId="206" fontId="55" fillId="0" borderId="0"/>
    <xf numFmtId="206" fontId="55" fillId="0" borderId="0"/>
    <xf numFmtId="206" fontId="55" fillId="0" borderId="0"/>
    <xf numFmtId="206" fontId="55" fillId="0" borderId="0"/>
    <xf numFmtId="206" fontId="55" fillId="0" borderId="0"/>
    <xf numFmtId="206" fontId="55" fillId="0" borderId="0"/>
    <xf numFmtId="206" fontId="55" fillId="0" borderId="0"/>
    <xf numFmtId="206" fontId="55" fillId="0" borderId="0"/>
    <xf numFmtId="206"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09" fontId="96" fillId="0" borderId="0">
      <alignment vertical="center"/>
    </xf>
    <xf numFmtId="0" fontId="97" fillId="0" borderId="19"/>
    <xf numFmtId="4" fontId="90" fillId="0" borderId="0">
      <protection locked="0"/>
    </xf>
    <xf numFmtId="210"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1" fontId="55" fillId="0" borderId="0">
      <protection locked="0"/>
    </xf>
    <xf numFmtId="0" fontId="48" fillId="0" borderId="0"/>
    <xf numFmtId="208" fontId="99" fillId="0" borderId="0" applyFill="0" applyBorder="0">
      <alignment vertical="center"/>
    </xf>
    <xf numFmtId="0" fontId="5" fillId="0" borderId="0" applyNumberFormat="0"/>
    <xf numFmtId="0" fontId="90" fillId="0" borderId="20">
      <protection locked="0"/>
    </xf>
    <xf numFmtId="212" fontId="55" fillId="0" borderId="0">
      <protection locked="0"/>
    </xf>
    <xf numFmtId="213"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79" fontId="1" fillId="0" borderId="0" applyFont="0" applyFill="0" applyBorder="0" applyAlignment="0" applyProtection="0"/>
    <xf numFmtId="178"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547">
    <xf numFmtId="0" fontId="0" fillId="0" borderId="0" xfId="0"/>
    <xf numFmtId="0" fontId="15" fillId="28" borderId="0" xfId="0" applyFont="1" applyFill="1" applyAlignment="1">
      <alignment horizontal="center"/>
    </xf>
    <xf numFmtId="0" fontId="7" fillId="0" borderId="0" xfId="0" applyFont="1"/>
    <xf numFmtId="0" fontId="9" fillId="27" borderId="0" xfId="0" applyFont="1" applyFill="1" applyAlignment="1">
      <alignment horizontal="left" vertical="center"/>
    </xf>
    <xf numFmtId="0" fontId="8" fillId="0" borderId="0" xfId="0" applyFont="1" applyAlignment="1">
      <alignment vertical="center"/>
    </xf>
    <xf numFmtId="0" fontId="7" fillId="0" borderId="0" xfId="0" applyFont="1" applyAlignment="1">
      <alignment vertical="center"/>
    </xf>
    <xf numFmtId="49" fontId="7" fillId="0" borderId="5" xfId="0" applyNumberFormat="1" applyFont="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37" fontId="7" fillId="0" borderId="0" xfId="2" applyNumberFormat="1" applyFont="1" applyFill="1" applyAlignment="1">
      <alignment horizontal="right" vertical="center"/>
    </xf>
    <xf numFmtId="37" fontId="7" fillId="0" borderId="13" xfId="2" applyNumberFormat="1" applyFont="1" applyFill="1" applyBorder="1" applyAlignment="1">
      <alignment horizontal="right" vertical="center"/>
    </xf>
    <xf numFmtId="37" fontId="7" fillId="0" borderId="0" xfId="2" applyNumberFormat="1" applyFont="1" applyFill="1" applyBorder="1" applyAlignment="1">
      <alignment horizontal="right" vertical="center"/>
    </xf>
    <xf numFmtId="37" fontId="7" fillId="0" borderId="17" xfId="2" applyNumberFormat="1" applyFont="1" applyFill="1" applyBorder="1" applyAlignment="1">
      <alignment horizontal="right" vertical="center"/>
    </xf>
    <xf numFmtId="0" fontId="13" fillId="0" borderId="0" xfId="0" applyFont="1" applyAlignment="1">
      <alignment vertical="center"/>
    </xf>
    <xf numFmtId="0" fontId="16" fillId="0" borderId="0" xfId="0" applyFont="1"/>
    <xf numFmtId="0" fontId="17" fillId="0" borderId="0" xfId="0" applyFont="1"/>
    <xf numFmtId="0" fontId="24" fillId="0" borderId="0" xfId="0" applyFo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5" fontId="24" fillId="0" borderId="0" xfId="0" applyNumberFormat="1" applyFont="1"/>
    <xf numFmtId="185" fontId="16" fillId="0" borderId="0" xfId="0" applyNumberFormat="1" applyFont="1"/>
    <xf numFmtId="0" fontId="24" fillId="0" borderId="0" xfId="0" applyFont="1" applyAlignment="1">
      <alignment horizontal="center"/>
    </xf>
    <xf numFmtId="0" fontId="16" fillId="0" borderId="0" xfId="0" applyFont="1" applyAlignment="1">
      <alignment horizontal="center"/>
    </xf>
    <xf numFmtId="184" fontId="24" fillId="0" borderId="0" xfId="1" applyNumberFormat="1" applyFont="1" applyAlignment="1"/>
    <xf numFmtId="184"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8" fillId="28" borderId="0" xfId="0" applyFont="1" applyFill="1"/>
    <xf numFmtId="0" fontId="19" fillId="28" borderId="0" xfId="3" applyFont="1" applyFill="1" applyAlignment="1" applyProtection="1">
      <alignment horizontal="center"/>
    </xf>
    <xf numFmtId="49" fontId="20" fillId="0" borderId="0" xfId="0" applyNumberFormat="1" applyFont="1" applyAlignment="1">
      <alignment vertical="center"/>
    </xf>
    <xf numFmtId="0" fontId="26" fillId="23" borderId="0" xfId="0" applyFont="1" applyFill="1"/>
    <xf numFmtId="0" fontId="116" fillId="27" borderId="0" xfId="0" applyFont="1" applyFill="1" applyAlignment="1">
      <alignment horizontal="left"/>
    </xf>
    <xf numFmtId="0" fontId="26" fillId="27" borderId="0" xfId="0" applyFont="1" applyFill="1"/>
    <xf numFmtId="0" fontId="26" fillId="0" borderId="0" xfId="0" applyFont="1"/>
    <xf numFmtId="185" fontId="26" fillId="0" borderId="3" xfId="0" applyNumberFormat="1" applyFont="1" applyBorder="1"/>
    <xf numFmtId="185" fontId="26" fillId="0" borderId="26" xfId="0" applyNumberFormat="1" applyFont="1" applyBorder="1"/>
    <xf numFmtId="38" fontId="26" fillId="0" borderId="27" xfId="2" applyFont="1" applyFill="1" applyBorder="1" applyAlignment="1">
      <alignment horizontal="center"/>
    </xf>
    <xf numFmtId="38" fontId="26" fillId="0" borderId="0" xfId="2" applyFont="1" applyFill="1" applyBorder="1" applyAlignment="1">
      <alignment horizontal="right"/>
    </xf>
    <xf numFmtId="38" fontId="26" fillId="0" borderId="0" xfId="2" applyFont="1" applyFill="1" applyAlignment="1"/>
    <xf numFmtId="185" fontId="26" fillId="0" borderId="3" xfId="0" applyNumberFormat="1" applyFont="1" applyBorder="1" applyAlignment="1">
      <alignment horizontal="center"/>
    </xf>
    <xf numFmtId="38" fontId="26" fillId="29" borderId="28" xfId="2" applyFont="1" applyFill="1" applyBorder="1" applyAlignment="1">
      <alignment horizontal="center"/>
    </xf>
    <xf numFmtId="185" fontId="26" fillId="0" borderId="29" xfId="0" applyNumberFormat="1" applyFont="1" applyBorder="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0" xfId="2" applyFont="1" applyFill="1" applyBorder="1" applyAlignment="1">
      <alignment horizontal="right"/>
    </xf>
    <xf numFmtId="38" fontId="26" fillId="29" borderId="31" xfId="2" applyFont="1" applyFill="1" applyBorder="1" applyAlignment="1">
      <alignment horizontal="right"/>
    </xf>
    <xf numFmtId="38" fontId="26" fillId="0" borderId="32" xfId="2" applyFont="1" applyFill="1" applyBorder="1" applyAlignment="1">
      <alignment horizontal="right"/>
    </xf>
    <xf numFmtId="184" fontId="26" fillId="0" borderId="33" xfId="1" applyNumberFormat="1" applyFont="1" applyFill="1" applyBorder="1" applyAlignment="1">
      <alignment horizontal="right"/>
    </xf>
    <xf numFmtId="184" fontId="26" fillId="0" borderId="34" xfId="1" applyNumberFormat="1" applyFont="1" applyFill="1" applyBorder="1" applyAlignment="1">
      <alignment horizontal="right"/>
    </xf>
    <xf numFmtId="184" fontId="26" fillId="29" borderId="35" xfId="1" applyNumberFormat="1" applyFont="1" applyFill="1" applyBorder="1" applyAlignment="1">
      <alignment horizontal="right"/>
    </xf>
    <xf numFmtId="184" fontId="26" fillId="0" borderId="30" xfId="1" applyNumberFormat="1" applyFont="1" applyFill="1" applyBorder="1" applyAlignment="1">
      <alignment horizontal="right"/>
    </xf>
    <xf numFmtId="184" fontId="26" fillId="0" borderId="36" xfId="1" applyNumberFormat="1" applyFont="1" applyFill="1" applyBorder="1" applyAlignment="1">
      <alignment horizontal="right"/>
    </xf>
    <xf numFmtId="184" fontId="26" fillId="0" borderId="37" xfId="1" applyNumberFormat="1" applyFont="1" applyFill="1" applyBorder="1" applyAlignment="1">
      <alignment horizontal="right"/>
    </xf>
    <xf numFmtId="184" fontId="26" fillId="29" borderId="38" xfId="1" applyNumberFormat="1" applyFont="1" applyFill="1" applyBorder="1" applyAlignment="1">
      <alignment horizontal="right"/>
    </xf>
    <xf numFmtId="38" fontId="26" fillId="29" borderId="39" xfId="2" applyFont="1" applyFill="1" applyBorder="1" applyAlignment="1">
      <alignment horizontal="right"/>
    </xf>
    <xf numFmtId="184" fontId="26" fillId="29" borderId="40" xfId="1" applyNumberFormat="1" applyFont="1" applyFill="1" applyBorder="1" applyAlignment="1">
      <alignment horizontal="right"/>
    </xf>
    <xf numFmtId="184" fontId="26" fillId="29" borderId="41" xfId="1" applyNumberFormat="1" applyFont="1" applyFill="1" applyBorder="1" applyAlignment="1">
      <alignment horizontal="right"/>
    </xf>
    <xf numFmtId="184" fontId="26" fillId="29" borderId="42" xfId="1" applyNumberFormat="1" applyFont="1" applyFill="1" applyBorder="1" applyAlignment="1">
      <alignment horizontal="right"/>
    </xf>
    <xf numFmtId="0" fontId="26" fillId="0" borderId="0" xfId="0" applyFont="1" applyAlignment="1">
      <alignment horizontal="left"/>
    </xf>
    <xf numFmtId="0" fontId="15" fillId="0" borderId="0" xfId="0" applyFont="1" applyAlignment="1">
      <alignment horizontal="left"/>
    </xf>
    <xf numFmtId="0" fontId="26" fillId="0" borderId="10" xfId="0" applyFont="1" applyBorder="1" applyAlignment="1">
      <alignment horizontal="right"/>
    </xf>
    <xf numFmtId="38" fontId="26" fillId="0" borderId="10" xfId="2" applyFont="1" applyFill="1" applyBorder="1" applyAlignment="1">
      <alignment horizontal="right"/>
    </xf>
    <xf numFmtId="0" fontId="26" fillId="0" borderId="43" xfId="0" applyFont="1" applyBorder="1" applyAlignment="1">
      <alignment horizontal="left"/>
    </xf>
    <xf numFmtId="3" fontId="26" fillId="0" borderId="32" xfId="2" applyNumberFormat="1" applyFont="1" applyFill="1" applyBorder="1" applyAlignment="1">
      <alignment horizontal="right"/>
    </xf>
    <xf numFmtId="3" fontId="26" fillId="29" borderId="39" xfId="2" applyNumberFormat="1" applyFont="1" applyFill="1" applyBorder="1" applyAlignment="1">
      <alignment horizontal="right"/>
    </xf>
    <xf numFmtId="0" fontId="26" fillId="0" borderId="44" xfId="0" applyFont="1" applyBorder="1" applyAlignment="1">
      <alignment horizontal="left"/>
    </xf>
    <xf numFmtId="0" fontId="26" fillId="0" borderId="37" xfId="0" applyFont="1" applyBorder="1" applyAlignment="1">
      <alignment horizontal="right"/>
    </xf>
    <xf numFmtId="38" fontId="26" fillId="0" borderId="37" xfId="2" applyFont="1" applyFill="1" applyBorder="1" applyAlignment="1">
      <alignment horizontal="right" wrapText="1"/>
    </xf>
    <xf numFmtId="0" fontId="16" fillId="27" borderId="0" xfId="0" applyFont="1" applyFill="1"/>
    <xf numFmtId="38" fontId="17" fillId="0" borderId="0" xfId="2" applyFont="1" applyAlignment="1">
      <alignment horizontal="right"/>
    </xf>
    <xf numFmtId="0" fontId="116" fillId="30" borderId="0" xfId="0" applyFont="1" applyFill="1" applyAlignment="1">
      <alignment horizontal="left"/>
    </xf>
    <xf numFmtId="185" fontId="26" fillId="0" borderId="45" xfId="0" applyNumberFormat="1" applyFont="1" applyBorder="1"/>
    <xf numFmtId="38" fontId="25" fillId="0" borderId="0" xfId="2" applyFont="1" applyFill="1" applyAlignment="1">
      <alignment horizontal="center"/>
    </xf>
    <xf numFmtId="38" fontId="26" fillId="0" borderId="46" xfId="2" applyFont="1" applyFill="1" applyBorder="1" applyAlignment="1">
      <alignment horizontal="center"/>
    </xf>
    <xf numFmtId="184" fontId="26" fillId="0" borderId="17" xfId="1" applyNumberFormat="1" applyFont="1" applyFill="1" applyBorder="1" applyAlignment="1">
      <alignment horizontal="right"/>
    </xf>
    <xf numFmtId="0" fontId="26" fillId="0" borderId="47" xfId="0" applyFont="1" applyBorder="1" applyAlignment="1">
      <alignment horizontal="right"/>
    </xf>
    <xf numFmtId="38" fontId="26" fillId="29" borderId="48" xfId="2" applyFont="1" applyFill="1" applyBorder="1" applyAlignment="1">
      <alignment horizontal="right"/>
    </xf>
    <xf numFmtId="38" fontId="26" fillId="29" borderId="42" xfId="2" applyFont="1" applyFill="1" applyBorder="1" applyAlignment="1">
      <alignment horizontal="right" wrapText="1"/>
    </xf>
    <xf numFmtId="38" fontId="26" fillId="29" borderId="31" xfId="0" applyNumberFormat="1" applyFont="1" applyFill="1" applyBorder="1" applyAlignment="1">
      <alignment horizontal="right"/>
    </xf>
    <xf numFmtId="38" fontId="17" fillId="31" borderId="28" xfId="2" applyFont="1" applyFill="1" applyBorder="1" applyAlignment="1">
      <alignment horizontal="center"/>
    </xf>
    <xf numFmtId="222" fontId="7" fillId="0" borderId="0" xfId="0" applyNumberFormat="1" applyFont="1" applyAlignment="1">
      <alignment horizontal="left" vertical="center"/>
    </xf>
    <xf numFmtId="221" fontId="7" fillId="0" borderId="0" xfId="2" applyNumberFormat="1" applyFont="1" applyFill="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183" fontId="7" fillId="0" borderId="0" xfId="0" applyNumberFormat="1" applyFont="1" applyAlignment="1">
      <alignment horizontal="right" vertical="center"/>
    </xf>
    <xf numFmtId="0" fontId="8" fillId="0" borderId="13" xfId="0" applyFont="1" applyBorder="1" applyAlignment="1">
      <alignment vertical="center"/>
    </xf>
    <xf numFmtId="0" fontId="8" fillId="0" borderId="0" xfId="0" applyFont="1" applyAlignment="1">
      <alignment horizontal="right" vertical="center"/>
    </xf>
    <xf numFmtId="0" fontId="7" fillId="0" borderId="0" xfId="0" applyFont="1" applyAlignment="1">
      <alignment horizontal="right" vertical="center"/>
    </xf>
    <xf numFmtId="49" fontId="7" fillId="0" borderId="0" xfId="0" applyNumberFormat="1" applyFont="1" applyAlignment="1">
      <alignment horizontal="center" vertical="center"/>
    </xf>
    <xf numFmtId="0" fontId="8" fillId="0" borderId="23" xfId="0" applyFont="1" applyBorder="1" applyAlignment="1">
      <alignment vertical="center"/>
    </xf>
    <xf numFmtId="37" fontId="7" fillId="0" borderId="23" xfId="2" applyNumberFormat="1" applyFont="1" applyFill="1" applyBorder="1" applyAlignment="1">
      <alignment horizontal="right" vertical="center"/>
    </xf>
    <xf numFmtId="0" fontId="8" fillId="0" borderId="3" xfId="0" applyFont="1" applyBorder="1" applyAlignment="1">
      <alignment vertical="center"/>
    </xf>
    <xf numFmtId="183" fontId="8" fillId="0" borderId="0" xfId="0" applyNumberFormat="1" applyFont="1" applyAlignment="1">
      <alignment vertical="center"/>
    </xf>
    <xf numFmtId="0" fontId="6" fillId="0" borderId="0" xfId="0" applyFont="1" applyAlignment="1">
      <alignment vertical="center"/>
    </xf>
    <xf numFmtId="0" fontId="8" fillId="0" borderId="0" xfId="0" applyFont="1" applyAlignment="1">
      <alignment vertical="center" wrapText="1"/>
    </xf>
    <xf numFmtId="37" fontId="8" fillId="0" borderId="13" xfId="2" applyNumberFormat="1" applyFont="1" applyFill="1" applyBorder="1" applyAlignment="1">
      <alignment horizontal="right" vertical="center"/>
    </xf>
    <xf numFmtId="0" fontId="6" fillId="0" borderId="0" xfId="0" applyFont="1"/>
    <xf numFmtId="37" fontId="8" fillId="0" borderId="0" xfId="2" applyNumberFormat="1" applyFont="1" applyFill="1" applyBorder="1" applyAlignment="1">
      <alignment horizontal="right" vertical="center"/>
    </xf>
    <xf numFmtId="0" fontId="14" fillId="0" borderId="0" xfId="0" applyFont="1" applyAlignment="1">
      <alignment vertical="center"/>
    </xf>
    <xf numFmtId="49" fontId="8" fillId="0" borderId="0" xfId="0" applyNumberFormat="1" applyFont="1" applyAlignment="1">
      <alignment horizontal="left" vertical="center"/>
    </xf>
    <xf numFmtId="0" fontId="9" fillId="27" borderId="0" xfId="0" applyFont="1" applyFill="1" applyAlignment="1">
      <alignment vertical="center"/>
    </xf>
    <xf numFmtId="0" fontId="7" fillId="27" borderId="0" xfId="0" applyFont="1" applyFill="1" applyAlignment="1">
      <alignment vertical="center"/>
    </xf>
    <xf numFmtId="38" fontId="122" fillId="0" borderId="0" xfId="2" applyFont="1" applyFill="1" applyBorder="1" applyAlignment="1">
      <alignment vertical="center"/>
    </xf>
    <xf numFmtId="38" fontId="17" fillId="32" borderId="49" xfId="2" applyFont="1" applyFill="1" applyBorder="1" applyAlignment="1" applyProtection="1">
      <alignment horizontal="right"/>
      <protection locked="0"/>
    </xf>
    <xf numFmtId="38" fontId="17" fillId="32" borderId="48" xfId="2" applyFont="1" applyFill="1" applyBorder="1" applyAlignment="1" applyProtection="1">
      <alignment horizontal="right"/>
      <protection locked="0"/>
    </xf>
    <xf numFmtId="38" fontId="17" fillId="32" borderId="50" xfId="2" applyFont="1" applyFill="1" applyBorder="1" applyAlignment="1" applyProtection="1">
      <alignment horizontal="right"/>
      <protection locked="0"/>
    </xf>
    <xf numFmtId="0" fontId="11" fillId="23" borderId="0" xfId="0" applyFont="1" applyFill="1" applyProtection="1">
      <protection locked="0"/>
    </xf>
    <xf numFmtId="0" fontId="24" fillId="0" borderId="0" xfId="0" applyFo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Protection="1">
      <protection locked="0"/>
    </xf>
    <xf numFmtId="0" fontId="11" fillId="0" borderId="0" xfId="0" applyFont="1" applyProtection="1">
      <protection locked="0"/>
    </xf>
    <xf numFmtId="0" fontId="7" fillId="23" borderId="13" xfId="0" applyFont="1" applyFill="1" applyBorder="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51" xfId="0" applyNumberFormat="1" applyFont="1" applyFill="1" applyBorder="1" applyAlignment="1" applyProtection="1">
      <alignment horizontal="center"/>
      <protection locked="0"/>
    </xf>
    <xf numFmtId="49" fontId="7" fillId="23" borderId="52" xfId="0" applyNumberFormat="1" applyFont="1" applyFill="1" applyBorder="1" applyAlignment="1" applyProtection="1">
      <alignment horizontal="center"/>
      <protection locked="0"/>
    </xf>
    <xf numFmtId="0" fontId="8" fillId="0" borderId="6" xfId="0" applyFont="1" applyBorder="1" applyAlignment="1" applyProtection="1">
      <alignment horizontal="left"/>
      <protection locked="0"/>
    </xf>
    <xf numFmtId="220" fontId="7" fillId="0" borderId="34" xfId="2" applyNumberFormat="1" applyFont="1" applyFill="1" applyBorder="1" applyAlignment="1" applyProtection="1">
      <protection locked="0"/>
    </xf>
    <xf numFmtId="220" fontId="7" fillId="0" borderId="33" xfId="2" applyNumberFormat="1" applyFont="1" applyFill="1" applyBorder="1" applyAlignment="1" applyProtection="1">
      <protection locked="0"/>
    </xf>
    <xf numFmtId="40" fontId="7" fillId="0" borderId="34" xfId="2" applyNumberFormat="1" applyFont="1" applyFill="1" applyBorder="1" applyAlignment="1" applyProtection="1">
      <alignment horizontal="right"/>
      <protection locked="0"/>
    </xf>
    <xf numFmtId="40" fontId="7" fillId="0" borderId="33" xfId="2" applyNumberFormat="1" applyFont="1" applyFill="1" applyBorder="1" applyAlignment="1" applyProtection="1">
      <protection locked="0"/>
    </xf>
    <xf numFmtId="0" fontId="6" fillId="23" borderId="0" xfId="0" applyFont="1" applyFill="1" applyProtection="1">
      <protection locked="0"/>
    </xf>
    <xf numFmtId="0" fontId="21" fillId="27" borderId="0" xfId="0" applyFont="1" applyFill="1" applyProtection="1">
      <protection locked="0"/>
    </xf>
    <xf numFmtId="0" fontId="22" fillId="27" borderId="0" xfId="0" applyFont="1" applyFill="1" applyProtection="1">
      <protection locked="0"/>
    </xf>
    <xf numFmtId="185" fontId="23" fillId="0" borderId="21" xfId="0" applyNumberFormat="1" applyFont="1" applyBorder="1" applyProtection="1">
      <protection locked="0"/>
    </xf>
    <xf numFmtId="185" fontId="24" fillId="0" borderId="3" xfId="0" applyNumberFormat="1" applyFont="1" applyBorder="1" applyProtection="1">
      <protection locked="0"/>
    </xf>
    <xf numFmtId="0" fontId="23" fillId="0" borderId="53" xfId="0" applyFont="1" applyBorder="1" applyProtection="1">
      <protection locked="0"/>
    </xf>
    <xf numFmtId="0" fontId="117" fillId="0" borderId="54" xfId="0" applyFont="1" applyBorder="1" applyProtection="1">
      <protection locked="0"/>
    </xf>
    <xf numFmtId="0" fontId="117" fillId="0" borderId="55" xfId="0" applyFont="1" applyBorder="1" applyProtection="1">
      <protection locked="0"/>
    </xf>
    <xf numFmtId="0" fontId="117" fillId="0" borderId="53" xfId="0" applyFont="1" applyBorder="1" applyProtection="1">
      <protection locked="0"/>
    </xf>
    <xf numFmtId="0" fontId="117" fillId="0" borderId="0" xfId="0" applyFont="1" applyProtection="1">
      <protection locked="0"/>
    </xf>
    <xf numFmtId="184" fontId="117" fillId="0" borderId="56" xfId="1" applyNumberFormat="1" applyFont="1" applyBorder="1" applyAlignment="1" applyProtection="1">
      <protection locked="0"/>
    </xf>
    <xf numFmtId="184" fontId="117" fillId="0" borderId="57" xfId="1" applyNumberFormat="1" applyFont="1" applyBorder="1" applyAlignment="1" applyProtection="1">
      <protection locked="0"/>
    </xf>
    <xf numFmtId="0" fontId="117" fillId="0" borderId="25" xfId="0" applyFont="1" applyBorder="1" applyProtection="1">
      <protection locked="0"/>
    </xf>
    <xf numFmtId="0" fontId="117" fillId="0" borderId="13" xfId="0" applyFont="1" applyBorder="1" applyProtection="1">
      <protection locked="0"/>
    </xf>
    <xf numFmtId="0" fontId="117" fillId="0" borderId="22" xfId="0" applyFont="1" applyBorder="1" applyProtection="1">
      <protection locked="0"/>
    </xf>
    <xf numFmtId="0" fontId="117" fillId="0" borderId="17" xfId="0" applyFont="1" applyBorder="1" applyProtection="1">
      <protection locked="0"/>
    </xf>
    <xf numFmtId="0" fontId="117" fillId="0" borderId="6" xfId="0" applyFont="1" applyBorder="1" applyProtection="1">
      <protection locked="0"/>
    </xf>
    <xf numFmtId="0" fontId="117" fillId="0" borderId="24" xfId="0" applyFont="1" applyBorder="1" applyProtection="1">
      <protection locked="0"/>
    </xf>
    <xf numFmtId="0" fontId="117" fillId="0" borderId="23" xfId="0" applyFont="1" applyBorder="1" applyProtection="1">
      <protection locked="0"/>
    </xf>
    <xf numFmtId="0" fontId="118" fillId="23" borderId="29" xfId="0" applyFont="1" applyFill="1" applyBorder="1" applyProtection="1">
      <protection locked="0"/>
    </xf>
    <xf numFmtId="0" fontId="118" fillId="23" borderId="54" xfId="0" applyFont="1" applyFill="1" applyBorder="1" applyProtection="1">
      <protection locked="0"/>
    </xf>
    <xf numFmtId="0" fontId="121" fillId="0" borderId="0" xfId="0" applyFont="1"/>
    <xf numFmtId="38" fontId="17" fillId="0" borderId="45" xfId="2" applyFont="1" applyFill="1" applyBorder="1" applyAlignment="1" applyProtection="1">
      <protection locked="0"/>
    </xf>
    <xf numFmtId="185" fontId="120" fillId="0" borderId="26" xfId="0" applyNumberFormat="1" applyFont="1" applyBorder="1" applyProtection="1">
      <protection locked="0"/>
    </xf>
    <xf numFmtId="38" fontId="123" fillId="28" borderId="0" xfId="2" applyFont="1" applyFill="1" applyAlignment="1">
      <alignment horizontal="center" vertical="center"/>
    </xf>
    <xf numFmtId="0" fontId="12" fillId="0" borderId="0" xfId="0" applyFont="1" applyAlignment="1">
      <alignment vertical="center"/>
    </xf>
    <xf numFmtId="0" fontId="9" fillId="0" borderId="0" xfId="0" applyFont="1" applyAlignment="1">
      <alignment vertical="center"/>
    </xf>
    <xf numFmtId="0" fontId="12" fillId="0" borderId="0" xfId="0" applyFont="1"/>
    <xf numFmtId="0" fontId="7" fillId="0" borderId="0" xfId="0" applyFont="1" applyAlignment="1">
      <alignment horizontal="right" vertical="top"/>
    </xf>
    <xf numFmtId="38" fontId="25" fillId="0" borderId="0" xfId="2" applyFont="1" applyFill="1" applyAlignment="1" applyProtection="1">
      <protection locked="0"/>
    </xf>
    <xf numFmtId="49" fontId="7" fillId="0" borderId="5" xfId="0" applyNumberFormat="1" applyFont="1" applyBorder="1" applyAlignment="1" applyProtection="1">
      <alignment horizontal="center" vertical="center"/>
      <protection locked="0"/>
    </xf>
    <xf numFmtId="37" fontId="7" fillId="0" borderId="0" xfId="2" quotePrefix="1" applyNumberFormat="1" applyFont="1" applyFill="1" applyAlignment="1">
      <alignment horizontal="right" vertical="center"/>
    </xf>
    <xf numFmtId="185" fontId="17" fillId="0" borderId="29" xfId="0" applyNumberFormat="1" applyFont="1" applyBorder="1" applyProtection="1">
      <protection locked="0"/>
    </xf>
    <xf numFmtId="38" fontId="17" fillId="0" borderId="0" xfId="2" applyFont="1" applyFill="1" applyAlignment="1" applyProtection="1">
      <protection locked="0"/>
    </xf>
    <xf numFmtId="185" fontId="17" fillId="0" borderId="45" xfId="0" applyNumberFormat="1" applyFont="1" applyBorder="1" applyProtection="1">
      <protection locked="0"/>
    </xf>
    <xf numFmtId="38" fontId="17" fillId="0" borderId="0" xfId="2" applyFont="1" applyFill="1" applyAlignment="1" applyProtection="1">
      <alignment horizontal="center"/>
      <protection locked="0"/>
    </xf>
    <xf numFmtId="0" fontId="26" fillId="0" borderId="58" xfId="0" applyFont="1" applyBorder="1" applyAlignment="1">
      <alignment horizontal="left"/>
    </xf>
    <xf numFmtId="0" fontId="26" fillId="0" borderId="59" xfId="0" applyFont="1" applyBorder="1" applyAlignment="1">
      <alignment horizontal="left"/>
    </xf>
    <xf numFmtId="38" fontId="26" fillId="29" borderId="60" xfId="0" applyNumberFormat="1" applyFont="1" applyFill="1" applyBorder="1" applyAlignment="1">
      <alignment horizontal="right"/>
    </xf>
    <xf numFmtId="37" fontId="7" fillId="0" borderId="0" xfId="2" applyNumberFormat="1" applyFont="1" applyFill="1" applyAlignment="1" applyProtection="1">
      <alignment vertical="center"/>
    </xf>
    <xf numFmtId="37" fontId="7" fillId="0" borderId="0" xfId="2" quotePrefix="1" applyNumberFormat="1" applyFont="1" applyFill="1" applyAlignment="1" applyProtection="1">
      <alignment horizontal="right" vertical="center"/>
    </xf>
    <xf numFmtId="37" fontId="7" fillId="0" borderId="0" xfId="2" applyNumberFormat="1" applyFont="1" applyFill="1" applyAlignment="1" applyProtection="1">
      <alignment horizontal="right" vertical="center"/>
    </xf>
    <xf numFmtId="37" fontId="13" fillId="0" borderId="0" xfId="2" applyNumberFormat="1" applyFont="1" applyFill="1" applyBorder="1" applyAlignment="1" applyProtection="1">
      <alignment vertical="center"/>
    </xf>
    <xf numFmtId="37" fontId="7" fillId="0" borderId="3" xfId="2" applyNumberFormat="1" applyFont="1" applyFill="1" applyBorder="1" applyAlignment="1" applyProtection="1">
      <alignment vertical="center"/>
    </xf>
    <xf numFmtId="37" fontId="7" fillId="0" borderId="0" xfId="2" applyNumberFormat="1" applyFont="1" applyFill="1" applyBorder="1" applyAlignment="1" applyProtection="1">
      <alignment vertical="center"/>
    </xf>
    <xf numFmtId="37" fontId="7" fillId="0" borderId="0" xfId="2" applyNumberFormat="1" applyFont="1" applyFill="1" applyBorder="1" applyAlignment="1" applyProtection="1">
      <alignment horizontal="right" vertical="center"/>
    </xf>
    <xf numFmtId="38" fontId="7" fillId="0" borderId="13" xfId="2" applyFont="1" applyFill="1" applyBorder="1" applyAlignment="1" applyProtection="1">
      <alignment vertical="center"/>
    </xf>
    <xf numFmtId="38" fontId="13" fillId="0" borderId="13" xfId="2" applyFont="1" applyFill="1" applyBorder="1" applyAlignment="1" applyProtection="1">
      <alignment vertical="center"/>
    </xf>
    <xf numFmtId="37" fontId="7" fillId="0" borderId="0" xfId="2" applyNumberFormat="1" applyFont="1" applyFill="1" applyAlignment="1" applyProtection="1">
      <alignment vertical="center"/>
      <protection locked="0"/>
    </xf>
    <xf numFmtId="37" fontId="7" fillId="0" borderId="0" xfId="2" quotePrefix="1" applyNumberFormat="1" applyFont="1" applyFill="1" applyAlignment="1" applyProtection="1">
      <alignment horizontal="right" vertical="center"/>
      <protection locked="0"/>
    </xf>
    <xf numFmtId="37" fontId="7" fillId="0" borderId="0" xfId="2" applyNumberFormat="1" applyFont="1" applyFill="1" applyAlignment="1" applyProtection="1">
      <alignment horizontal="right" vertical="center"/>
      <protection locked="0"/>
    </xf>
    <xf numFmtId="37" fontId="13" fillId="0" borderId="0" xfId="2" applyNumberFormat="1" applyFont="1" applyFill="1" applyBorder="1" applyAlignment="1" applyProtection="1">
      <alignment vertical="center"/>
      <protection locked="0"/>
    </xf>
    <xf numFmtId="37" fontId="7" fillId="0" borderId="3" xfId="2" applyNumberFormat="1" applyFont="1" applyFill="1" applyBorder="1" applyAlignment="1" applyProtection="1">
      <alignment vertical="center"/>
      <protection locked="0"/>
    </xf>
    <xf numFmtId="37" fontId="7" fillId="0" borderId="0" xfId="2" applyNumberFormat="1" applyFont="1" applyFill="1" applyBorder="1" applyAlignment="1" applyProtection="1">
      <alignment vertical="center"/>
      <protection locked="0"/>
    </xf>
    <xf numFmtId="37" fontId="7" fillId="0" borderId="0" xfId="2" applyNumberFormat="1" applyFont="1" applyFill="1" applyBorder="1" applyAlignment="1" applyProtection="1">
      <alignment horizontal="right" vertical="center"/>
      <protection locked="0"/>
    </xf>
    <xf numFmtId="38" fontId="13" fillId="0" borderId="13" xfId="2" applyFont="1" applyFill="1" applyBorder="1" applyAlignment="1" applyProtection="1">
      <alignment vertical="center"/>
      <protection locked="0"/>
    </xf>
    <xf numFmtId="0" fontId="8" fillId="0" borderId="0" xfId="0" applyFont="1" applyAlignment="1" applyProtection="1">
      <alignment vertical="center"/>
      <protection locked="0"/>
    </xf>
    <xf numFmtId="37" fontId="7" fillId="0" borderId="23" xfId="2" applyNumberFormat="1" applyFont="1" applyFill="1" applyBorder="1" applyAlignment="1" applyProtection="1">
      <alignment horizontal="right" vertical="center"/>
      <protection locked="0"/>
    </xf>
    <xf numFmtId="37" fontId="7" fillId="0" borderId="17" xfId="2" applyNumberFormat="1" applyFont="1" applyFill="1" applyBorder="1" applyAlignment="1" applyProtection="1">
      <alignment horizontal="right" vertical="center"/>
      <protection locked="0"/>
    </xf>
    <xf numFmtId="37" fontId="7" fillId="0" borderId="13" xfId="2" applyNumberFormat="1" applyFont="1" applyFill="1" applyBorder="1" applyAlignment="1" applyProtection="1">
      <alignment horizontal="right" vertical="center"/>
      <protection locked="0"/>
    </xf>
    <xf numFmtId="37" fontId="13" fillId="0" borderId="13" xfId="2" applyNumberFormat="1" applyFont="1" applyFill="1" applyBorder="1" applyAlignment="1" applyProtection="1">
      <alignment horizontal="right" vertical="center"/>
      <protection locked="0"/>
    </xf>
    <xf numFmtId="185" fontId="17" fillId="0" borderId="45" xfId="0" applyNumberFormat="1" applyFont="1" applyBorder="1"/>
    <xf numFmtId="185" fontId="17" fillId="0" borderId="45" xfId="0" applyNumberFormat="1" applyFont="1" applyBorder="1" applyAlignment="1">
      <alignment horizontal="center"/>
    </xf>
    <xf numFmtId="38" fontId="17" fillId="0" borderId="45" xfId="2" applyFont="1" applyFill="1" applyBorder="1" applyAlignment="1" applyProtection="1"/>
    <xf numFmtId="185" fontId="120" fillId="0" borderId="45" xfId="0" applyNumberFormat="1" applyFont="1" applyBorder="1"/>
    <xf numFmtId="185" fontId="17" fillId="0" borderId="29" xfId="0" applyNumberFormat="1" applyFont="1" applyBorder="1" applyAlignment="1">
      <alignment horizontal="center"/>
    </xf>
    <xf numFmtId="185" fontId="17" fillId="0" borderId="61" xfId="0" applyNumberFormat="1" applyFont="1" applyBorder="1" applyAlignment="1">
      <alignment horizontal="center"/>
    </xf>
    <xf numFmtId="185" fontId="17" fillId="0" borderId="26" xfId="0" applyNumberFormat="1" applyFont="1" applyBorder="1" applyAlignment="1">
      <alignment horizontal="center"/>
    </xf>
    <xf numFmtId="38" fontId="17" fillId="0" borderId="27" xfId="2" applyFont="1" applyFill="1" applyBorder="1" applyAlignment="1" applyProtection="1">
      <alignment horizontal="center"/>
    </xf>
    <xf numFmtId="38" fontId="17" fillId="31" borderId="46" xfId="2" applyFont="1" applyFill="1" applyBorder="1" applyAlignment="1" applyProtection="1">
      <alignment horizontal="center"/>
    </xf>
    <xf numFmtId="38" fontId="17" fillId="0" borderId="62" xfId="2" applyFont="1" applyFill="1" applyBorder="1" applyAlignment="1" applyProtection="1">
      <alignment horizontal="center"/>
    </xf>
    <xf numFmtId="38" fontId="17" fillId="0" borderId="28" xfId="2" applyFont="1" applyFill="1" applyBorder="1" applyAlignment="1" applyProtection="1">
      <alignment horizontal="center"/>
    </xf>
    <xf numFmtId="38" fontId="17" fillId="0" borderId="63" xfId="2" applyFont="1" applyFill="1" applyBorder="1" applyAlignment="1" applyProtection="1">
      <alignment horizontal="right"/>
    </xf>
    <xf numFmtId="38" fontId="17" fillId="31" borderId="3" xfId="2" applyFont="1" applyFill="1" applyBorder="1" applyAlignment="1" applyProtection="1">
      <alignment horizontal="right"/>
    </xf>
    <xf numFmtId="38" fontId="17" fillId="0" borderId="64" xfId="2" applyFont="1" applyFill="1" applyBorder="1" applyAlignment="1" applyProtection="1">
      <alignment horizontal="right"/>
    </xf>
    <xf numFmtId="38" fontId="17" fillId="0" borderId="65" xfId="2" applyFont="1" applyFill="1" applyBorder="1" applyAlignment="1" applyProtection="1">
      <alignment horizontal="right"/>
    </xf>
    <xf numFmtId="38" fontId="17" fillId="0" borderId="32" xfId="2" applyFont="1" applyFill="1" applyBorder="1" applyAlignment="1" applyProtection="1">
      <alignment horizontal="right"/>
    </xf>
    <xf numFmtId="38" fontId="17" fillId="31" borderId="23" xfId="2" applyFont="1" applyFill="1" applyBorder="1" applyAlignment="1" applyProtection="1">
      <alignment horizontal="right"/>
    </xf>
    <xf numFmtId="38" fontId="17" fillId="0" borderId="66" xfId="2" applyFont="1" applyFill="1" applyBorder="1" applyAlignment="1" applyProtection="1">
      <alignment horizontal="right"/>
    </xf>
    <xf numFmtId="38" fontId="17" fillId="0" borderId="60" xfId="2" applyFont="1" applyFill="1" applyBorder="1" applyAlignment="1" applyProtection="1">
      <alignment horizontal="right"/>
    </xf>
    <xf numFmtId="38" fontId="17" fillId="0" borderId="67" xfId="2" applyFont="1" applyFill="1" applyBorder="1" applyAlignment="1" applyProtection="1">
      <alignment horizontal="right"/>
    </xf>
    <xf numFmtId="38" fontId="17" fillId="31" borderId="68" xfId="2" applyFont="1" applyFill="1" applyBorder="1" applyAlignment="1" applyProtection="1">
      <alignment horizontal="right"/>
    </xf>
    <xf numFmtId="184" fontId="24" fillId="0" borderId="34" xfId="1" applyNumberFormat="1" applyFont="1" applyFill="1" applyBorder="1" applyAlignment="1" applyProtection="1">
      <alignment horizontal="right"/>
    </xf>
    <xf numFmtId="184" fontId="24" fillId="31" borderId="17" xfId="1" applyNumberFormat="1" applyFont="1" applyFill="1" applyBorder="1" applyAlignment="1" applyProtection="1">
      <alignment horizontal="right"/>
    </xf>
    <xf numFmtId="184" fontId="24" fillId="0" borderId="69" xfId="1" applyNumberFormat="1" applyFont="1" applyFill="1" applyBorder="1" applyAlignment="1" applyProtection="1">
      <alignment horizontal="right"/>
    </xf>
    <xf numFmtId="184" fontId="24" fillId="0" borderId="70" xfId="1" applyNumberFormat="1" applyFont="1" applyFill="1" applyBorder="1" applyAlignment="1" applyProtection="1">
      <alignment horizontal="right"/>
    </xf>
    <xf numFmtId="184" fontId="24" fillId="0" borderId="71" xfId="1" applyNumberFormat="1" applyFont="1" applyFill="1" applyBorder="1" applyAlignment="1" applyProtection="1">
      <alignment horizontal="right"/>
    </xf>
    <xf numFmtId="38" fontId="17" fillId="0" borderId="27" xfId="2" applyFont="1" applyFill="1" applyBorder="1" applyAlignment="1" applyProtection="1">
      <alignment horizontal="right"/>
    </xf>
    <xf numFmtId="38" fontId="17" fillId="31" borderId="46" xfId="2" applyFont="1" applyFill="1" applyBorder="1" applyAlignment="1" applyProtection="1">
      <alignment horizontal="right"/>
    </xf>
    <xf numFmtId="38" fontId="17" fillId="0" borderId="62" xfId="2" applyFont="1" applyFill="1" applyBorder="1" applyAlignment="1" applyProtection="1">
      <alignment horizontal="right"/>
    </xf>
    <xf numFmtId="38" fontId="17" fillId="0" borderId="28" xfId="2" applyFont="1" applyFill="1" applyBorder="1" applyAlignment="1" applyProtection="1">
      <alignment horizontal="right"/>
    </xf>
    <xf numFmtId="38" fontId="17" fillId="0" borderId="34" xfId="2" applyFont="1" applyFill="1" applyBorder="1" applyAlignment="1" applyProtection="1">
      <alignment horizontal="right"/>
    </xf>
    <xf numFmtId="38" fontId="17" fillId="31" borderId="17" xfId="2" applyFont="1" applyFill="1" applyBorder="1" applyAlignment="1" applyProtection="1">
      <alignment horizontal="right"/>
    </xf>
    <xf numFmtId="38" fontId="17" fillId="0" borderId="72" xfId="2" applyFont="1" applyFill="1" applyBorder="1" applyAlignment="1" applyProtection="1">
      <alignment horizontal="right"/>
    </xf>
    <xf numFmtId="38" fontId="17" fillId="0" borderId="35" xfId="2" applyFont="1" applyFill="1" applyBorder="1" applyAlignment="1" applyProtection="1">
      <alignment horizontal="right"/>
    </xf>
    <xf numFmtId="38" fontId="24" fillId="0" borderId="30" xfId="2" applyFont="1" applyFill="1" applyBorder="1" applyAlignment="1" applyProtection="1">
      <alignment horizontal="right"/>
    </xf>
    <xf numFmtId="38" fontId="17" fillId="31" borderId="55" xfId="2" applyFont="1" applyFill="1" applyBorder="1" applyAlignment="1" applyProtection="1">
      <alignment horizontal="right"/>
    </xf>
    <xf numFmtId="38" fontId="24" fillId="0" borderId="73" xfId="2" applyFont="1" applyFill="1" applyBorder="1" applyAlignment="1" applyProtection="1">
      <alignment horizontal="right"/>
    </xf>
    <xf numFmtId="38" fontId="24" fillId="0" borderId="31" xfId="2" applyFont="1" applyFill="1" applyBorder="1" applyAlignment="1" applyProtection="1">
      <alignment horizontal="right"/>
    </xf>
    <xf numFmtId="38" fontId="24" fillId="0" borderId="10" xfId="2" applyFont="1" applyFill="1" applyBorder="1" applyAlignment="1" applyProtection="1">
      <alignment horizontal="right"/>
    </xf>
    <xf numFmtId="38" fontId="24" fillId="0" borderId="43" xfId="2" applyFont="1" applyFill="1" applyBorder="1" applyAlignment="1" applyProtection="1">
      <alignment horizontal="right"/>
    </xf>
    <xf numFmtId="38" fontId="24" fillId="0" borderId="55" xfId="2" applyFont="1" applyFill="1" applyBorder="1" applyAlignment="1" applyProtection="1">
      <alignment horizontal="right"/>
    </xf>
    <xf numFmtId="38" fontId="17" fillId="0" borderId="30" xfId="2" applyFont="1" applyFill="1" applyBorder="1" applyAlignment="1" applyProtection="1">
      <alignment horizontal="right"/>
    </xf>
    <xf numFmtId="38" fontId="17" fillId="31" borderId="0" xfId="2" applyFont="1" applyFill="1" applyBorder="1" applyAlignment="1" applyProtection="1">
      <alignment horizontal="right"/>
    </xf>
    <xf numFmtId="38" fontId="17" fillId="0" borderId="73" xfId="2" applyFont="1" applyFill="1" applyBorder="1" applyAlignment="1" applyProtection="1">
      <alignment horizontal="right"/>
    </xf>
    <xf numFmtId="38" fontId="17" fillId="0" borderId="31" xfId="2" applyFont="1" applyFill="1" applyBorder="1" applyAlignment="1" applyProtection="1">
      <alignment horizontal="right"/>
    </xf>
    <xf numFmtId="38" fontId="17" fillId="0" borderId="61" xfId="2" applyFont="1" applyFill="1" applyBorder="1" applyAlignment="1" applyProtection="1">
      <alignment horizontal="right"/>
    </xf>
    <xf numFmtId="38" fontId="17" fillId="31" borderId="45" xfId="2" applyFont="1" applyFill="1" applyBorder="1" applyAlignment="1" applyProtection="1">
      <alignment horizontal="right"/>
    </xf>
    <xf numFmtId="38" fontId="17" fillId="0" borderId="74" xfId="2" applyFont="1" applyBorder="1" applyAlignment="1" applyProtection="1">
      <alignment horizontal="right"/>
    </xf>
    <xf numFmtId="38" fontId="17" fillId="0" borderId="61" xfId="2" applyFont="1" applyBorder="1" applyAlignment="1" applyProtection="1">
      <alignment horizontal="right"/>
    </xf>
    <xf numFmtId="38" fontId="17" fillId="0" borderId="26" xfId="2" applyFont="1" applyFill="1" applyBorder="1" applyAlignment="1" applyProtection="1">
      <alignment horizontal="right"/>
    </xf>
    <xf numFmtId="38" fontId="17" fillId="0" borderId="10" xfId="2" applyFont="1" applyFill="1" applyBorder="1" applyAlignment="1" applyProtection="1">
      <alignment horizontal="right"/>
    </xf>
    <xf numFmtId="38" fontId="17" fillId="31" borderId="6" xfId="2" applyFont="1" applyFill="1" applyBorder="1" applyAlignment="1" applyProtection="1">
      <alignment horizontal="right"/>
    </xf>
    <xf numFmtId="38" fontId="17" fillId="0" borderId="43" xfId="2" applyFont="1" applyBorder="1" applyAlignment="1" applyProtection="1">
      <alignment horizontal="right"/>
    </xf>
    <xf numFmtId="38" fontId="17" fillId="0" borderId="10" xfId="2" applyFont="1" applyBorder="1" applyAlignment="1" applyProtection="1">
      <alignment horizontal="right"/>
    </xf>
    <xf numFmtId="38" fontId="17" fillId="0" borderId="55" xfId="2" applyFont="1" applyFill="1" applyBorder="1" applyAlignment="1" applyProtection="1">
      <alignment horizontal="right"/>
    </xf>
    <xf numFmtId="220" fontId="17" fillId="0" borderId="10" xfId="2" applyNumberFormat="1" applyFont="1" applyFill="1" applyBorder="1" applyAlignment="1" applyProtection="1">
      <alignment horizontal="right"/>
    </xf>
    <xf numFmtId="220" fontId="17" fillId="31" borderId="6" xfId="2" applyNumberFormat="1" applyFont="1" applyFill="1" applyBorder="1" applyAlignment="1" applyProtection="1">
      <alignment horizontal="right"/>
    </xf>
    <xf numFmtId="220" fontId="17" fillId="0" borderId="43" xfId="2" applyNumberFormat="1" applyFont="1" applyBorder="1" applyAlignment="1" applyProtection="1">
      <alignment horizontal="right"/>
    </xf>
    <xf numFmtId="220" fontId="17" fillId="0" borderId="10" xfId="2" applyNumberFormat="1" applyFont="1" applyBorder="1" applyAlignment="1" applyProtection="1">
      <alignment horizontal="right"/>
    </xf>
    <xf numFmtId="220" fontId="17" fillId="0" borderId="55" xfId="2" applyNumberFormat="1" applyFont="1" applyFill="1" applyBorder="1" applyAlignment="1" applyProtection="1">
      <alignment horizontal="right"/>
    </xf>
    <xf numFmtId="38" fontId="17" fillId="0" borderId="37" xfId="2" applyFont="1" applyFill="1" applyBorder="1" applyAlignment="1" applyProtection="1"/>
    <xf numFmtId="38" fontId="17" fillId="31" borderId="13" xfId="2" applyFont="1" applyFill="1" applyBorder="1" applyAlignment="1" applyProtection="1">
      <alignment horizontal="right"/>
    </xf>
    <xf numFmtId="38" fontId="17" fillId="0" borderId="44" xfId="2" applyFont="1" applyFill="1" applyBorder="1" applyAlignment="1" applyProtection="1"/>
    <xf numFmtId="38" fontId="17" fillId="0" borderId="37" xfId="2" applyFont="1" applyFill="1" applyBorder="1" applyAlignment="1" applyProtection="1">
      <alignment horizontal="right"/>
    </xf>
    <xf numFmtId="38" fontId="17" fillId="0" borderId="38" xfId="2" applyFont="1" applyFill="1" applyBorder="1" applyAlignment="1" applyProtection="1"/>
    <xf numFmtId="185" fontId="26" fillId="0" borderId="29" xfId="0" applyNumberFormat="1" applyFont="1" applyBorder="1" applyProtection="1">
      <protection locked="0"/>
    </xf>
    <xf numFmtId="185" fontId="26" fillId="0" borderId="3" xfId="0" applyNumberFormat="1" applyFont="1" applyBorder="1" applyProtection="1">
      <protection locked="0"/>
    </xf>
    <xf numFmtId="185" fontId="26" fillId="0" borderId="3" xfId="0" applyNumberFormat="1" applyFont="1" applyBorder="1" applyAlignment="1" applyProtection="1">
      <alignment horizontal="center"/>
      <protection locked="0"/>
    </xf>
    <xf numFmtId="185" fontId="26" fillId="0" borderId="26" xfId="0" applyNumberFormat="1" applyFont="1" applyBorder="1" applyProtection="1">
      <protection locked="0"/>
    </xf>
    <xf numFmtId="38" fontId="26" fillId="0" borderId="27" xfId="2" applyFont="1" applyFill="1" applyBorder="1" applyAlignment="1" applyProtection="1">
      <alignment horizontal="center"/>
      <protection locked="0"/>
    </xf>
    <xf numFmtId="38" fontId="26" fillId="29" borderId="28" xfId="2" applyFont="1" applyFill="1" applyBorder="1" applyAlignment="1" applyProtection="1">
      <alignment horizontal="center"/>
      <protection locked="0"/>
    </xf>
    <xf numFmtId="184" fontId="26" fillId="0" borderId="33" xfId="1" applyNumberFormat="1" applyFont="1" applyFill="1" applyBorder="1" applyAlignment="1" applyProtection="1">
      <alignment horizontal="right"/>
      <protection locked="0"/>
    </xf>
    <xf numFmtId="184" fontId="26" fillId="0" borderId="34" xfId="1" applyNumberFormat="1" applyFont="1" applyFill="1" applyBorder="1" applyAlignment="1" applyProtection="1">
      <alignment horizontal="right"/>
      <protection locked="0"/>
    </xf>
    <xf numFmtId="184" fontId="26" fillId="29" borderId="35" xfId="1" applyNumberFormat="1" applyFont="1" applyFill="1" applyBorder="1" applyAlignment="1" applyProtection="1">
      <alignment horizontal="right"/>
      <protection locked="0"/>
    </xf>
    <xf numFmtId="38" fontId="26" fillId="0" borderId="53" xfId="2" applyFont="1" applyFill="1" applyBorder="1" applyAlignment="1" applyProtection="1">
      <alignment horizontal="right"/>
      <protection locked="0"/>
    </xf>
    <xf numFmtId="38" fontId="26" fillId="0" borderId="11" xfId="2" applyFont="1" applyFill="1" applyBorder="1" applyAlignment="1" applyProtection="1">
      <alignment horizontal="right"/>
      <protection locked="0"/>
    </xf>
    <xf numFmtId="38" fontId="26" fillId="0" borderId="30" xfId="2" applyFont="1" applyFill="1" applyBorder="1" applyAlignment="1" applyProtection="1">
      <alignment horizontal="right"/>
      <protection locked="0"/>
    </xf>
    <xf numFmtId="38" fontId="26" fillId="29" borderId="31" xfId="2" applyFont="1" applyFill="1" applyBorder="1" applyAlignment="1" applyProtection="1">
      <alignment horizontal="right"/>
      <protection locked="0"/>
    </xf>
    <xf numFmtId="38" fontId="26" fillId="29" borderId="31" xfId="0" applyNumberFormat="1" applyFont="1" applyFill="1" applyBorder="1" applyAlignment="1" applyProtection="1">
      <alignment horizontal="right"/>
      <protection locked="0"/>
    </xf>
    <xf numFmtId="184" fontId="26" fillId="0" borderId="32" xfId="1" applyNumberFormat="1" applyFont="1" applyFill="1" applyBorder="1" applyAlignment="1" applyProtection="1">
      <alignment horizontal="right"/>
      <protection locked="0"/>
    </xf>
    <xf numFmtId="184" fontId="26" fillId="0" borderId="30" xfId="1" applyNumberFormat="1" applyFont="1" applyFill="1" applyBorder="1" applyAlignment="1" applyProtection="1">
      <alignment horizontal="right"/>
      <protection locked="0"/>
    </xf>
    <xf numFmtId="38" fontId="26" fillId="0" borderId="32" xfId="2" applyFont="1" applyFill="1" applyBorder="1" applyAlignment="1" applyProtection="1">
      <alignment horizontal="right"/>
      <protection locked="0"/>
    </xf>
    <xf numFmtId="184" fontId="26" fillId="0" borderId="36" xfId="1" applyNumberFormat="1" applyFont="1" applyFill="1" applyBorder="1" applyAlignment="1" applyProtection="1">
      <alignment horizontal="right"/>
      <protection locked="0"/>
    </xf>
    <xf numFmtId="184" fontId="26" fillId="0" borderId="37" xfId="1" applyNumberFormat="1" applyFont="1" applyFill="1" applyBorder="1" applyAlignment="1" applyProtection="1">
      <alignment horizontal="right"/>
      <protection locked="0"/>
    </xf>
    <xf numFmtId="184" fontId="26" fillId="29" borderId="38" xfId="1" applyNumberFormat="1" applyFont="1" applyFill="1" applyBorder="1" applyAlignment="1" applyProtection="1">
      <alignment horizontal="right"/>
      <protection locked="0"/>
    </xf>
    <xf numFmtId="184" fontId="26" fillId="29" borderId="40" xfId="1" applyNumberFormat="1" applyFont="1" applyFill="1" applyBorder="1" applyAlignment="1" applyProtection="1">
      <alignment horizontal="right"/>
      <protection locked="0"/>
    </xf>
    <xf numFmtId="3" fontId="26" fillId="0" borderId="32" xfId="2" applyNumberFormat="1" applyFont="1" applyFill="1" applyBorder="1" applyAlignment="1" applyProtection="1">
      <alignment horizontal="right"/>
      <protection locked="0"/>
    </xf>
    <xf numFmtId="3" fontId="26" fillId="29" borderId="31" xfId="2" applyNumberFormat="1" applyFont="1" applyFill="1" applyBorder="1" applyAlignment="1" applyProtection="1">
      <alignment horizontal="right"/>
      <protection locked="0"/>
    </xf>
    <xf numFmtId="184" fontId="26" fillId="29" borderId="41" xfId="1" applyNumberFormat="1" applyFont="1" applyFill="1" applyBorder="1" applyAlignment="1" applyProtection="1">
      <alignment horizontal="right"/>
      <protection locked="0"/>
    </xf>
    <xf numFmtId="38" fontId="26" fillId="29" borderId="39" xfId="2" applyFont="1" applyFill="1" applyBorder="1" applyAlignment="1" applyProtection="1">
      <alignment horizontal="right"/>
      <protection locked="0"/>
    </xf>
    <xf numFmtId="184" fontId="26" fillId="29" borderId="42" xfId="1" applyNumberFormat="1" applyFont="1" applyFill="1" applyBorder="1" applyAlignment="1" applyProtection="1">
      <alignment horizontal="right"/>
      <protection locked="0"/>
    </xf>
    <xf numFmtId="185" fontId="26" fillId="0" borderId="45" xfId="0" applyNumberFormat="1" applyFont="1" applyBorder="1" applyProtection="1">
      <protection locked="0"/>
    </xf>
    <xf numFmtId="38" fontId="26" fillId="0" borderId="10" xfId="2" applyFont="1" applyFill="1" applyBorder="1" applyAlignment="1" applyProtection="1">
      <alignment horizontal="right"/>
      <protection locked="0"/>
    </xf>
    <xf numFmtId="38" fontId="26" fillId="0" borderId="37" xfId="2" applyFont="1" applyFill="1" applyBorder="1" applyAlignment="1" applyProtection="1">
      <alignment horizontal="right" wrapText="1"/>
      <protection locked="0"/>
    </xf>
    <xf numFmtId="38" fontId="26" fillId="29" borderId="42" xfId="2" applyFont="1" applyFill="1" applyBorder="1" applyAlignment="1" applyProtection="1">
      <alignment horizontal="right" wrapText="1"/>
      <protection locked="0"/>
    </xf>
    <xf numFmtId="38" fontId="26" fillId="0" borderId="0" xfId="2" applyFont="1" applyFill="1" applyBorder="1" applyAlignment="1" applyProtection="1">
      <alignment horizontal="right"/>
      <protection locked="0"/>
    </xf>
    <xf numFmtId="185" fontId="17" fillId="0" borderId="45" xfId="0" applyNumberFormat="1" applyFont="1" applyBorder="1" applyAlignment="1" applyProtection="1">
      <alignment horizontal="center"/>
      <protection locked="0"/>
    </xf>
    <xf numFmtId="0" fontId="26" fillId="0" borderId="75" xfId="0" applyFont="1" applyBorder="1" applyAlignment="1">
      <alignment horizontal="right"/>
    </xf>
    <xf numFmtId="0" fontId="26" fillId="0" borderId="76" xfId="0" applyFont="1" applyBorder="1" applyAlignment="1">
      <alignment horizontal="right"/>
    </xf>
    <xf numFmtId="0" fontId="26" fillId="0" borderId="77" xfId="0" applyFont="1" applyBorder="1" applyAlignment="1">
      <alignment horizontal="left"/>
    </xf>
    <xf numFmtId="0" fontId="26" fillId="0" borderId="78" xfId="0" applyFont="1" applyBorder="1" applyAlignment="1">
      <alignment horizontal="left"/>
    </xf>
    <xf numFmtId="0" fontId="26" fillId="0" borderId="51" xfId="0" applyFont="1" applyBorder="1" applyAlignment="1">
      <alignment horizontal="right"/>
    </xf>
    <xf numFmtId="0" fontId="26" fillId="0" borderId="52" xfId="0" applyFont="1" applyBorder="1" applyAlignment="1">
      <alignment horizontal="right"/>
    </xf>
    <xf numFmtId="38" fontId="26" fillId="0" borderId="51" xfId="2" applyFont="1" applyFill="1" applyBorder="1" applyAlignment="1" applyProtection="1">
      <alignment horizontal="right"/>
      <protection locked="0"/>
    </xf>
    <xf numFmtId="38" fontId="26" fillId="29" borderId="79" xfId="2" applyFont="1" applyFill="1" applyBorder="1" applyAlignment="1" applyProtection="1">
      <alignment horizontal="right"/>
      <protection locked="0"/>
    </xf>
    <xf numFmtId="38" fontId="26" fillId="0" borderId="51" xfId="2" applyFont="1" applyFill="1" applyBorder="1" applyAlignment="1">
      <alignment horizontal="right"/>
    </xf>
    <xf numFmtId="38" fontId="26" fillId="29" borderId="48" xfId="2" applyFont="1" applyFill="1" applyBorder="1" applyAlignment="1" applyProtection="1">
      <alignment horizontal="right"/>
      <protection locked="0"/>
    </xf>
    <xf numFmtId="38" fontId="26" fillId="33" borderId="11" xfId="2" applyFont="1" applyFill="1" applyBorder="1" applyAlignment="1" applyProtection="1">
      <alignment horizontal="right"/>
      <protection locked="0"/>
    </xf>
    <xf numFmtId="184" fontId="26" fillId="33" borderId="33" xfId="1" applyNumberFormat="1" applyFont="1" applyFill="1" applyBorder="1" applyAlignment="1" applyProtection="1">
      <alignment horizontal="right"/>
      <protection locked="0"/>
    </xf>
    <xf numFmtId="38" fontId="26" fillId="33" borderId="32" xfId="2" applyFont="1" applyFill="1" applyBorder="1" applyAlignment="1" applyProtection="1">
      <alignment horizontal="right"/>
      <protection locked="0"/>
    </xf>
    <xf numFmtId="184" fontId="26" fillId="33" borderId="34" xfId="1" applyNumberFormat="1" applyFont="1" applyFill="1" applyBorder="1" applyAlignment="1" applyProtection="1">
      <alignment horizontal="right"/>
      <protection locked="0"/>
    </xf>
    <xf numFmtId="184" fontId="26" fillId="33" borderId="36" xfId="1" applyNumberFormat="1" applyFont="1" applyFill="1" applyBorder="1" applyAlignment="1" applyProtection="1">
      <alignment horizontal="right"/>
      <protection locked="0"/>
    </xf>
    <xf numFmtId="38" fontId="26" fillId="33" borderId="11" xfId="2" applyFont="1" applyFill="1" applyBorder="1" applyAlignment="1">
      <alignment horizontal="right"/>
    </xf>
    <xf numFmtId="184" fontId="26" fillId="33" borderId="33" xfId="1" applyNumberFormat="1" applyFont="1" applyFill="1" applyBorder="1" applyAlignment="1">
      <alignment horizontal="right"/>
    </xf>
    <xf numFmtId="38" fontId="26" fillId="33" borderId="32" xfId="2" applyFont="1" applyFill="1" applyBorder="1" applyAlignment="1">
      <alignment horizontal="right"/>
    </xf>
    <xf numFmtId="184" fontId="26" fillId="33" borderId="34" xfId="1" applyNumberFormat="1" applyFont="1" applyFill="1" applyBorder="1" applyAlignment="1">
      <alignment horizontal="right"/>
    </xf>
    <xf numFmtId="184" fontId="26" fillId="33" borderId="36" xfId="1" applyNumberFormat="1" applyFont="1" applyFill="1" applyBorder="1" applyAlignment="1">
      <alignment horizontal="right"/>
    </xf>
    <xf numFmtId="38" fontId="26" fillId="33" borderId="30" xfId="2" applyFont="1" applyFill="1" applyBorder="1" applyAlignment="1">
      <alignment horizontal="right"/>
    </xf>
    <xf numFmtId="3" fontId="26" fillId="33" borderId="32" xfId="2" applyNumberFormat="1" applyFont="1" applyFill="1" applyBorder="1" applyAlignment="1">
      <alignment horizontal="right"/>
    </xf>
    <xf numFmtId="184" fontId="26" fillId="33" borderId="30" xfId="1" applyNumberFormat="1" applyFont="1" applyFill="1" applyBorder="1" applyAlignment="1">
      <alignment horizontal="right"/>
    </xf>
    <xf numFmtId="184" fontId="26" fillId="33" borderId="37" xfId="1" applyNumberFormat="1" applyFont="1" applyFill="1" applyBorder="1" applyAlignment="1">
      <alignment horizontal="right"/>
    </xf>
    <xf numFmtId="38" fontId="26" fillId="33" borderId="30" xfId="2" applyFont="1" applyFill="1" applyBorder="1" applyAlignment="1" applyProtection="1">
      <alignment horizontal="right"/>
      <protection locked="0"/>
    </xf>
    <xf numFmtId="3" fontId="26" fillId="33" borderId="32" xfId="2" applyNumberFormat="1" applyFont="1" applyFill="1" applyBorder="1" applyAlignment="1" applyProtection="1">
      <alignment horizontal="right"/>
      <protection locked="0"/>
    </xf>
    <xf numFmtId="184" fontId="26" fillId="33" borderId="30" xfId="1" applyNumberFormat="1" applyFont="1" applyFill="1" applyBorder="1" applyAlignment="1" applyProtection="1">
      <alignment horizontal="right"/>
      <protection locked="0"/>
    </xf>
    <xf numFmtId="184" fontId="26" fillId="33" borderId="37" xfId="1" applyNumberFormat="1" applyFont="1" applyFill="1" applyBorder="1" applyAlignment="1" applyProtection="1">
      <alignment horizontal="right"/>
      <protection locked="0"/>
    </xf>
    <xf numFmtId="38" fontId="26" fillId="33" borderId="10" xfId="2" applyFont="1" applyFill="1" applyBorder="1" applyAlignment="1" applyProtection="1">
      <alignment horizontal="right"/>
      <protection locked="0"/>
    </xf>
    <xf numFmtId="38" fontId="26" fillId="33" borderId="37" xfId="2" applyFont="1" applyFill="1" applyBorder="1" applyAlignment="1" applyProtection="1">
      <alignment horizontal="right" wrapText="1"/>
      <protection locked="0"/>
    </xf>
    <xf numFmtId="38" fontId="26" fillId="33" borderId="51" xfId="2" applyFont="1" applyFill="1" applyBorder="1" applyAlignment="1" applyProtection="1">
      <alignment horizontal="right"/>
      <protection locked="0"/>
    </xf>
    <xf numFmtId="38" fontId="26" fillId="33" borderId="10" xfId="2" applyFont="1" applyFill="1" applyBorder="1" applyAlignment="1">
      <alignment horizontal="right"/>
    </xf>
    <xf numFmtId="38" fontId="26" fillId="33" borderId="37" xfId="2" applyFont="1" applyFill="1" applyBorder="1" applyAlignment="1">
      <alignment horizontal="right" wrapText="1"/>
    </xf>
    <xf numFmtId="38" fontId="26" fillId="33" borderId="51" xfId="2" applyFont="1" applyFill="1" applyBorder="1" applyAlignment="1">
      <alignment horizontal="right"/>
    </xf>
    <xf numFmtId="38" fontId="26" fillId="0" borderId="80" xfId="2" applyFont="1" applyFill="1" applyBorder="1" applyAlignment="1" applyProtection="1">
      <alignment horizontal="center"/>
      <protection locked="0"/>
    </xf>
    <xf numFmtId="184" fontId="26" fillId="0" borderId="22" xfId="1" applyNumberFormat="1" applyFont="1" applyFill="1" applyBorder="1" applyAlignment="1" applyProtection="1">
      <alignment horizontal="right"/>
      <protection locked="0"/>
    </xf>
    <xf numFmtId="184" fontId="26" fillId="0" borderId="72" xfId="1" applyNumberFormat="1" applyFont="1" applyFill="1" applyBorder="1" applyAlignment="1" applyProtection="1">
      <alignment horizontal="right"/>
      <protection locked="0"/>
    </xf>
    <xf numFmtId="184" fontId="26" fillId="0" borderId="25" xfId="1" applyNumberFormat="1" applyFont="1" applyFill="1" applyBorder="1" applyAlignment="1" applyProtection="1">
      <alignment horizontal="right"/>
      <protection locked="0"/>
    </xf>
    <xf numFmtId="38" fontId="26" fillId="0" borderId="80" xfId="2" applyFont="1" applyFill="1" applyBorder="1" applyAlignment="1">
      <alignment horizontal="center"/>
    </xf>
    <xf numFmtId="38" fontId="26" fillId="0" borderId="53" xfId="2" applyFont="1" applyFill="1" applyBorder="1" applyAlignment="1">
      <alignment horizontal="right"/>
    </xf>
    <xf numFmtId="184" fontId="26" fillId="0" borderId="22" xfId="1" applyNumberFormat="1" applyFont="1" applyFill="1" applyBorder="1" applyAlignment="1">
      <alignment horizontal="right"/>
    </xf>
    <xf numFmtId="38" fontId="26" fillId="0" borderId="24" xfId="2" applyFont="1" applyFill="1" applyBorder="1" applyAlignment="1">
      <alignment horizontal="right"/>
    </xf>
    <xf numFmtId="184" fontId="26" fillId="0" borderId="72" xfId="1" applyNumberFormat="1" applyFont="1" applyFill="1" applyBorder="1" applyAlignment="1">
      <alignment horizontal="right"/>
    </xf>
    <xf numFmtId="184" fontId="26" fillId="0" borderId="25" xfId="1" applyNumberFormat="1" applyFont="1" applyFill="1" applyBorder="1" applyAlignment="1">
      <alignment horizontal="right"/>
    </xf>
    <xf numFmtId="38" fontId="26" fillId="0" borderId="66" xfId="2" applyFont="1" applyFill="1" applyBorder="1" applyAlignment="1" applyProtection="1">
      <alignment horizontal="right"/>
      <protection locked="0"/>
    </xf>
    <xf numFmtId="3" fontId="26" fillId="0" borderId="66" xfId="2" applyNumberFormat="1" applyFont="1" applyFill="1" applyBorder="1" applyAlignment="1" applyProtection="1">
      <alignment horizontal="right"/>
      <protection locked="0"/>
    </xf>
    <xf numFmtId="184" fontId="26" fillId="0" borderId="73" xfId="1" applyNumberFormat="1" applyFont="1" applyFill="1" applyBorder="1" applyAlignment="1" applyProtection="1">
      <alignment horizontal="right"/>
      <protection locked="0"/>
    </xf>
    <xf numFmtId="184" fontId="26" fillId="0" borderId="44" xfId="1" applyNumberFormat="1" applyFont="1" applyFill="1" applyBorder="1" applyAlignment="1" applyProtection="1">
      <alignment horizontal="right"/>
      <protection locked="0"/>
    </xf>
    <xf numFmtId="38" fontId="26" fillId="0" borderId="81" xfId="2" applyFont="1" applyFill="1" applyBorder="1" applyAlignment="1">
      <alignment horizontal="right"/>
    </xf>
    <xf numFmtId="184" fontId="26" fillId="0" borderId="82" xfId="1" applyNumberFormat="1" applyFont="1" applyFill="1" applyBorder="1" applyAlignment="1">
      <alignment horizontal="right"/>
    </xf>
    <xf numFmtId="3" fontId="26" fillId="0" borderId="81" xfId="2" applyNumberFormat="1" applyFont="1" applyFill="1" applyBorder="1" applyAlignment="1">
      <alignment horizontal="right"/>
    </xf>
    <xf numFmtId="184" fontId="26" fillId="0" borderId="16" xfId="1" applyNumberFormat="1" applyFont="1" applyFill="1" applyBorder="1" applyAlignment="1">
      <alignment horizontal="right"/>
    </xf>
    <xf numFmtId="184" fontId="26" fillId="0" borderId="59" xfId="1" applyNumberFormat="1" applyFont="1" applyFill="1" applyBorder="1" applyAlignment="1">
      <alignment horizontal="right"/>
    </xf>
    <xf numFmtId="38" fontId="26" fillId="0" borderId="43" xfId="2" applyFont="1" applyFill="1" applyBorder="1" applyAlignment="1" applyProtection="1">
      <alignment horizontal="right"/>
      <protection locked="0"/>
    </xf>
    <xf numFmtId="38" fontId="26" fillId="0" borderId="44" xfId="2" applyFont="1" applyFill="1" applyBorder="1" applyAlignment="1" applyProtection="1">
      <alignment horizontal="right" wrapText="1"/>
      <protection locked="0"/>
    </xf>
    <xf numFmtId="38" fontId="26" fillId="0" borderId="43" xfId="2" applyFont="1" applyFill="1" applyBorder="1" applyAlignment="1">
      <alignment horizontal="right"/>
    </xf>
    <xf numFmtId="38" fontId="26" fillId="0" borderId="44" xfId="2" applyFont="1" applyFill="1" applyBorder="1" applyAlignment="1">
      <alignment horizontal="right" wrapText="1"/>
    </xf>
    <xf numFmtId="38" fontId="26" fillId="0" borderId="77" xfId="2" applyFont="1" applyFill="1" applyBorder="1" applyAlignment="1" applyProtection="1">
      <alignment horizontal="right"/>
      <protection locked="0"/>
    </xf>
    <xf numFmtId="38" fontId="26" fillId="0" borderId="77" xfId="2" applyFont="1" applyFill="1" applyBorder="1" applyAlignment="1">
      <alignment horizontal="right"/>
    </xf>
    <xf numFmtId="38" fontId="26" fillId="33" borderId="0" xfId="2" applyFont="1" applyFill="1" applyBorder="1" applyAlignment="1" applyProtection="1">
      <alignment horizontal="right"/>
      <protection locked="0"/>
    </xf>
    <xf numFmtId="38" fontId="26" fillId="33" borderId="46" xfId="2" applyFont="1" applyFill="1" applyBorder="1" applyAlignment="1" applyProtection="1">
      <alignment horizontal="center"/>
      <protection locked="0"/>
    </xf>
    <xf numFmtId="184" fontId="26" fillId="33" borderId="17" xfId="1" applyNumberFormat="1" applyFont="1" applyFill="1" applyBorder="1" applyAlignment="1" applyProtection="1">
      <alignment horizontal="right"/>
      <protection locked="0"/>
    </xf>
    <xf numFmtId="38" fontId="26" fillId="33" borderId="46" xfId="2" applyFont="1" applyFill="1" applyBorder="1" applyAlignment="1">
      <alignment horizontal="center"/>
    </xf>
    <xf numFmtId="38" fontId="26" fillId="33" borderId="0" xfId="2" applyFont="1" applyFill="1" applyBorder="1" applyAlignment="1">
      <alignment horizontal="right"/>
    </xf>
    <xf numFmtId="184" fontId="26" fillId="33" borderId="17" xfId="1" applyNumberFormat="1" applyFont="1" applyFill="1" applyBorder="1" applyAlignment="1">
      <alignment horizontal="right"/>
    </xf>
    <xf numFmtId="38" fontId="26" fillId="0" borderId="83" xfId="2" applyFont="1" applyFill="1" applyBorder="1" applyAlignment="1">
      <alignment horizontal="right"/>
    </xf>
    <xf numFmtId="38" fontId="17" fillId="0" borderId="37" xfId="2" applyFont="1" applyFill="1" applyBorder="1" applyAlignment="1" applyProtection="1">
      <protection locked="0"/>
    </xf>
    <xf numFmtId="38" fontId="17" fillId="0" borderId="0" xfId="2" applyFont="1" applyFill="1" applyAlignment="1"/>
    <xf numFmtId="38" fontId="17" fillId="28" borderId="27" xfId="2" applyFont="1" applyFill="1" applyBorder="1" applyAlignment="1">
      <alignment horizontal="center"/>
    </xf>
    <xf numFmtId="38" fontId="17" fillId="28" borderId="63" xfId="2" applyFont="1" applyFill="1" applyBorder="1" applyAlignment="1" applyProtection="1">
      <alignment horizontal="right"/>
      <protection locked="0"/>
    </xf>
    <xf numFmtId="38" fontId="17" fillId="28" borderId="32" xfId="2" applyFont="1" applyFill="1" applyBorder="1" applyAlignment="1" applyProtection="1">
      <alignment horizontal="right"/>
      <protection locked="0"/>
    </xf>
    <xf numFmtId="38" fontId="17" fillId="28" borderId="67" xfId="2" applyFont="1" applyFill="1" applyBorder="1" applyAlignment="1" applyProtection="1">
      <alignment horizontal="right"/>
      <protection locked="0"/>
    </xf>
    <xf numFmtId="184" fontId="24" fillId="28" borderId="34" xfId="1" applyNumberFormat="1" applyFont="1" applyFill="1" applyBorder="1" applyAlignment="1" applyProtection="1">
      <alignment horizontal="right"/>
      <protection locked="0"/>
    </xf>
    <xf numFmtId="38" fontId="17" fillId="28" borderId="27" xfId="2" applyFont="1" applyFill="1" applyBorder="1" applyAlignment="1" applyProtection="1">
      <alignment horizontal="right"/>
      <protection locked="0"/>
    </xf>
    <xf numFmtId="38" fontId="17" fillId="28" borderId="34" xfId="2" applyFont="1" applyFill="1" applyBorder="1" applyAlignment="1" applyProtection="1">
      <alignment horizontal="right"/>
      <protection locked="0"/>
    </xf>
    <xf numFmtId="38" fontId="24" fillId="28" borderId="30" xfId="2" applyFont="1" applyFill="1" applyBorder="1" applyAlignment="1" applyProtection="1">
      <alignment horizontal="right"/>
      <protection locked="0"/>
    </xf>
    <xf numFmtId="38" fontId="24" fillId="28" borderId="10" xfId="2" applyFont="1" applyFill="1" applyBorder="1" applyAlignment="1" applyProtection="1">
      <alignment horizontal="right"/>
      <protection locked="0"/>
    </xf>
    <xf numFmtId="38" fontId="17" fillId="28" borderId="30" xfId="2" applyFont="1" applyFill="1" applyBorder="1" applyAlignment="1" applyProtection="1">
      <alignment horizontal="right"/>
      <protection locked="0"/>
    </xf>
    <xf numFmtId="38" fontId="17" fillId="28" borderId="45" xfId="2" applyFont="1" applyFill="1" applyBorder="1" applyAlignment="1" applyProtection="1">
      <alignment horizontal="right"/>
      <protection locked="0"/>
    </xf>
    <xf numFmtId="38" fontId="17" fillId="28" borderId="6" xfId="2" applyFont="1" applyFill="1" applyBorder="1" applyAlignment="1" applyProtection="1">
      <alignment horizontal="right"/>
      <protection locked="0"/>
    </xf>
    <xf numFmtId="220" fontId="17" fillId="28" borderId="6" xfId="2" applyNumberFormat="1" applyFont="1" applyFill="1" applyBorder="1" applyAlignment="1" applyProtection="1">
      <alignment horizontal="right"/>
      <protection locked="0"/>
    </xf>
    <xf numFmtId="38" fontId="17" fillId="28" borderId="13" xfId="2" applyFont="1" applyFill="1" applyBorder="1" applyAlignment="1" applyProtection="1">
      <alignment horizontal="right"/>
      <protection locked="0"/>
    </xf>
    <xf numFmtId="38" fontId="17" fillId="28" borderId="37" xfId="2" applyFont="1" applyFill="1" applyBorder="1" applyAlignment="1" applyProtection="1">
      <protection locked="0"/>
    </xf>
    <xf numFmtId="38" fontId="17" fillId="33" borderId="44" xfId="2" applyFont="1" applyFill="1" applyBorder="1" applyAlignment="1" applyProtection="1">
      <protection locked="0"/>
    </xf>
    <xf numFmtId="38" fontId="17" fillId="33" borderId="59" xfId="2" applyFont="1" applyFill="1" applyBorder="1" applyAlignment="1" applyProtection="1"/>
    <xf numFmtId="38" fontId="17" fillId="28" borderId="59" xfId="2" applyFont="1" applyFill="1" applyBorder="1" applyAlignment="1" applyProtection="1">
      <alignment horizontal="right"/>
    </xf>
    <xf numFmtId="38" fontId="25" fillId="28" borderId="0" xfId="2" applyFont="1" applyFill="1" applyAlignment="1" applyProtection="1">
      <protection locked="0"/>
    </xf>
    <xf numFmtId="0" fontId="26" fillId="28" borderId="0" xfId="0" applyFont="1" applyFill="1"/>
    <xf numFmtId="185" fontId="26" fillId="28" borderId="3" xfId="0" applyNumberFormat="1" applyFont="1" applyFill="1" applyBorder="1" applyAlignment="1">
      <alignment horizontal="center"/>
    </xf>
    <xf numFmtId="0" fontId="124" fillId="0" borderId="0" xfId="0" applyFont="1"/>
    <xf numFmtId="185" fontId="124" fillId="0" borderId="3" xfId="0" applyNumberFormat="1" applyFont="1" applyBorder="1" applyProtection="1">
      <protection locked="0"/>
    </xf>
    <xf numFmtId="185" fontId="124" fillId="0" borderId="3" xfId="0" applyNumberFormat="1" applyFont="1" applyBorder="1" applyAlignment="1" applyProtection="1">
      <alignment horizontal="center"/>
      <protection locked="0"/>
    </xf>
    <xf numFmtId="38" fontId="124" fillId="0" borderId="27" xfId="2" applyFont="1" applyFill="1" applyBorder="1" applyAlignment="1" applyProtection="1">
      <alignment horizontal="center"/>
      <protection locked="0"/>
    </xf>
    <xf numFmtId="38" fontId="124" fillId="0" borderId="30" xfId="2" applyFont="1" applyFill="1" applyBorder="1" applyAlignment="1" applyProtection="1">
      <alignment horizontal="right"/>
      <protection locked="0"/>
    </xf>
    <xf numFmtId="184" fontId="124" fillId="0" borderId="34" xfId="1" applyNumberFormat="1" applyFont="1" applyFill="1" applyBorder="1" applyAlignment="1" applyProtection="1">
      <alignment horizontal="right"/>
      <protection locked="0"/>
    </xf>
    <xf numFmtId="38" fontId="124" fillId="0" borderId="32" xfId="2" applyFont="1" applyFill="1" applyBorder="1" applyAlignment="1" applyProtection="1">
      <alignment horizontal="right"/>
      <protection locked="0"/>
    </xf>
    <xf numFmtId="3" fontId="124" fillId="0" borderId="32" xfId="2" applyNumberFormat="1" applyFont="1" applyFill="1" applyBorder="1" applyAlignment="1" applyProtection="1">
      <alignment horizontal="right"/>
      <protection locked="0"/>
    </xf>
    <xf numFmtId="184" fontId="124" fillId="0" borderId="30" xfId="1" applyNumberFormat="1" applyFont="1" applyFill="1" applyBorder="1" applyAlignment="1" applyProtection="1">
      <alignment horizontal="right"/>
      <protection locked="0"/>
    </xf>
    <xf numFmtId="184" fontId="124" fillId="0" borderId="37" xfId="1" applyNumberFormat="1" applyFont="1" applyFill="1" applyBorder="1" applyAlignment="1" applyProtection="1">
      <alignment horizontal="right"/>
      <protection locked="0"/>
    </xf>
    <xf numFmtId="185" fontId="124" fillId="0" borderId="45" xfId="0" applyNumberFormat="1" applyFont="1" applyBorder="1" applyProtection="1">
      <protection locked="0"/>
    </xf>
    <xf numFmtId="185" fontId="124" fillId="28" borderId="3" xfId="0" applyNumberFormat="1" applyFont="1" applyFill="1" applyBorder="1" applyAlignment="1" applyProtection="1">
      <alignment horizontal="center"/>
      <protection locked="0"/>
    </xf>
    <xf numFmtId="38" fontId="124" fillId="0" borderId="10" xfId="2" applyFont="1" applyFill="1" applyBorder="1" applyAlignment="1" applyProtection="1">
      <alignment horizontal="right"/>
      <protection locked="0"/>
    </xf>
    <xf numFmtId="38" fontId="124" fillId="0" borderId="37" xfId="2" applyFont="1" applyFill="1" applyBorder="1" applyAlignment="1" applyProtection="1">
      <alignment horizontal="right" wrapText="1"/>
      <protection locked="0"/>
    </xf>
    <xf numFmtId="38" fontId="124" fillId="0" borderId="11" xfId="2" applyFont="1" applyFill="1" applyBorder="1" applyAlignment="1" applyProtection="1">
      <alignment horizontal="right"/>
      <protection locked="0"/>
    </xf>
    <xf numFmtId="184" fontId="124" fillId="0" borderId="33" xfId="1" applyNumberFormat="1" applyFont="1" applyFill="1" applyBorder="1" applyAlignment="1" applyProtection="1">
      <alignment horizontal="right"/>
      <protection locked="0"/>
    </xf>
    <xf numFmtId="184" fontId="124" fillId="0" borderId="36" xfId="1" applyNumberFormat="1" applyFont="1" applyFill="1" applyBorder="1" applyAlignment="1" applyProtection="1">
      <alignment horizontal="right"/>
      <protection locked="0"/>
    </xf>
    <xf numFmtId="38" fontId="17" fillId="32" borderId="31" xfId="2" applyFont="1" applyFill="1" applyBorder="1" applyAlignment="1" applyProtection="1">
      <alignment horizontal="right"/>
      <protection locked="0"/>
    </xf>
    <xf numFmtId="38" fontId="17" fillId="32" borderId="60" xfId="2" applyFont="1" applyFill="1" applyBorder="1" applyAlignment="1" applyProtection="1">
      <alignment horizontal="right"/>
      <protection locked="0"/>
    </xf>
    <xf numFmtId="184" fontId="24" fillId="32" borderId="35" xfId="1" applyNumberFormat="1" applyFont="1" applyFill="1" applyBorder="1" applyAlignment="1" applyProtection="1">
      <alignment horizontal="right"/>
      <protection locked="0"/>
    </xf>
    <xf numFmtId="38" fontId="17" fillId="32" borderId="35" xfId="2" applyFont="1" applyFill="1" applyBorder="1" applyAlignment="1" applyProtection="1">
      <alignment horizontal="right"/>
      <protection locked="0"/>
    </xf>
    <xf numFmtId="38" fontId="124" fillId="33" borderId="11" xfId="2" applyFont="1" applyFill="1" applyBorder="1" applyAlignment="1" applyProtection="1">
      <alignment horizontal="right"/>
      <protection locked="0"/>
    </xf>
    <xf numFmtId="184" fontId="124" fillId="33" borderId="33" xfId="1" applyNumberFormat="1" applyFont="1" applyFill="1" applyBorder="1" applyAlignment="1" applyProtection="1">
      <alignment horizontal="right"/>
      <protection locked="0"/>
    </xf>
    <xf numFmtId="38" fontId="124" fillId="33" borderId="32" xfId="2" applyFont="1" applyFill="1" applyBorder="1" applyAlignment="1" applyProtection="1">
      <alignment horizontal="right"/>
      <protection locked="0"/>
    </xf>
    <xf numFmtId="184" fontId="124" fillId="33" borderId="34" xfId="1" applyNumberFormat="1" applyFont="1" applyFill="1" applyBorder="1" applyAlignment="1" applyProtection="1">
      <alignment horizontal="right"/>
      <protection locked="0"/>
    </xf>
    <xf numFmtId="184" fontId="124" fillId="33" borderId="36" xfId="1" applyNumberFormat="1" applyFont="1" applyFill="1" applyBorder="1" applyAlignment="1" applyProtection="1">
      <alignment horizontal="right"/>
      <protection locked="0"/>
    </xf>
    <xf numFmtId="38" fontId="124" fillId="33" borderId="30" xfId="2" applyFont="1" applyFill="1" applyBorder="1" applyAlignment="1" applyProtection="1">
      <alignment horizontal="right"/>
      <protection locked="0"/>
    </xf>
    <xf numFmtId="38" fontId="124" fillId="33" borderId="10" xfId="2" applyFont="1" applyFill="1" applyBorder="1" applyAlignment="1" applyProtection="1">
      <alignment horizontal="right"/>
      <protection locked="0"/>
    </xf>
    <xf numFmtId="184" fontId="26" fillId="0" borderId="82" xfId="1" applyNumberFormat="1" applyFont="1" applyFill="1" applyBorder="1" applyAlignment="1" applyProtection="1">
      <alignment horizontal="right"/>
      <protection locked="0"/>
    </xf>
    <xf numFmtId="38" fontId="17" fillId="0" borderId="62" xfId="2" applyFont="1" applyFill="1" applyBorder="1" applyAlignment="1">
      <alignment horizontal="center"/>
    </xf>
    <xf numFmtId="38" fontId="17" fillId="0" borderId="64" xfId="2" applyFont="1" applyFill="1" applyBorder="1" applyAlignment="1" applyProtection="1">
      <alignment horizontal="right"/>
      <protection locked="0"/>
    </xf>
    <xf numFmtId="38" fontId="17" fillId="0" borderId="66" xfId="2" applyFont="1" applyFill="1" applyBorder="1" applyAlignment="1" applyProtection="1">
      <alignment horizontal="right"/>
      <protection locked="0"/>
    </xf>
    <xf numFmtId="38" fontId="17" fillId="0" borderId="84" xfId="2" applyFont="1" applyFill="1" applyBorder="1" applyAlignment="1" applyProtection="1">
      <alignment horizontal="right"/>
      <protection locked="0"/>
    </xf>
    <xf numFmtId="184" fontId="24" fillId="0" borderId="72" xfId="1" applyNumberFormat="1" applyFont="1" applyFill="1" applyBorder="1" applyAlignment="1" applyProtection="1">
      <alignment horizontal="right"/>
      <protection locked="0"/>
    </xf>
    <xf numFmtId="38" fontId="17" fillId="0" borderId="62" xfId="2" applyFont="1" applyFill="1" applyBorder="1" applyAlignment="1" applyProtection="1">
      <alignment horizontal="right"/>
      <protection locked="0"/>
    </xf>
    <xf numFmtId="38" fontId="17" fillId="0" borderId="72" xfId="2" applyFont="1" applyFill="1" applyBorder="1" applyAlignment="1" applyProtection="1">
      <alignment horizontal="right"/>
      <protection locked="0"/>
    </xf>
    <xf numFmtId="38" fontId="24" fillId="0" borderId="73" xfId="2" applyFont="1" applyFill="1" applyBorder="1" applyAlignment="1" applyProtection="1">
      <alignment horizontal="right"/>
      <protection locked="0"/>
    </xf>
    <xf numFmtId="38" fontId="24" fillId="0" borderId="43" xfId="2" applyFont="1" applyFill="1" applyBorder="1" applyAlignment="1" applyProtection="1">
      <alignment horizontal="right"/>
      <protection locked="0"/>
    </xf>
    <xf numFmtId="38" fontId="17" fillId="0" borderId="73" xfId="2" applyFont="1" applyFill="1" applyBorder="1" applyAlignment="1" applyProtection="1">
      <alignment horizontal="right"/>
      <protection locked="0"/>
    </xf>
    <xf numFmtId="38" fontId="17" fillId="0" borderId="29" xfId="2" applyFont="1" applyFill="1" applyBorder="1" applyAlignment="1" applyProtection="1">
      <alignment horizontal="right"/>
      <protection locked="0"/>
    </xf>
    <xf numFmtId="38" fontId="17" fillId="0" borderId="54" xfId="2" applyFont="1" applyFill="1" applyBorder="1" applyAlignment="1" applyProtection="1">
      <alignment horizontal="right"/>
      <protection locked="0"/>
    </xf>
    <xf numFmtId="220" fontId="17" fillId="0" borderId="54" xfId="2" applyNumberFormat="1" applyFont="1" applyFill="1" applyBorder="1" applyAlignment="1" applyProtection="1">
      <alignment horizontal="right"/>
      <protection locked="0"/>
    </xf>
    <xf numFmtId="38" fontId="17" fillId="0" borderId="85" xfId="2" applyFont="1" applyFill="1" applyBorder="1" applyAlignment="1" applyProtection="1">
      <alignment horizontal="center"/>
    </xf>
    <xf numFmtId="38" fontId="17" fillId="0" borderId="86" xfId="2" applyFont="1" applyFill="1" applyBorder="1" applyAlignment="1" applyProtection="1">
      <alignment horizontal="right"/>
    </xf>
    <xf numFmtId="38" fontId="17" fillId="0" borderId="81" xfId="2" applyFont="1" applyFill="1" applyBorder="1" applyAlignment="1" applyProtection="1">
      <alignment horizontal="right"/>
    </xf>
    <xf numFmtId="38" fontId="17" fillId="0" borderId="87" xfId="2" applyFont="1" applyFill="1" applyBorder="1" applyAlignment="1" applyProtection="1">
      <alignment horizontal="right"/>
    </xf>
    <xf numFmtId="184" fontId="24" fillId="0" borderId="82" xfId="1" applyNumberFormat="1" applyFont="1" applyFill="1" applyBorder="1" applyAlignment="1" applyProtection="1">
      <alignment horizontal="right"/>
    </xf>
    <xf numFmtId="38" fontId="17" fillId="0" borderId="85" xfId="2" applyFont="1" applyFill="1" applyBorder="1" applyAlignment="1" applyProtection="1">
      <alignment horizontal="right"/>
    </xf>
    <xf numFmtId="38" fontId="17" fillId="0" borderId="82" xfId="2" applyFont="1" applyFill="1" applyBorder="1" applyAlignment="1" applyProtection="1">
      <alignment horizontal="right"/>
    </xf>
    <xf numFmtId="38" fontId="24" fillId="0" borderId="16" xfId="2" applyFont="1" applyFill="1" applyBorder="1" applyAlignment="1" applyProtection="1">
      <alignment horizontal="right"/>
    </xf>
    <xf numFmtId="38" fontId="24" fillId="0" borderId="58" xfId="2" applyFont="1" applyFill="1" applyBorder="1" applyAlignment="1" applyProtection="1">
      <alignment horizontal="right"/>
    </xf>
    <xf numFmtId="38" fontId="17" fillId="0" borderId="16" xfId="2" applyFont="1" applyFill="1" applyBorder="1" applyAlignment="1" applyProtection="1">
      <alignment horizontal="right"/>
    </xf>
    <xf numFmtId="38" fontId="17" fillId="0" borderId="88" xfId="2" applyFont="1" applyFill="1" applyBorder="1" applyAlignment="1" applyProtection="1">
      <alignment horizontal="right"/>
    </xf>
    <xf numFmtId="38" fontId="17" fillId="0" borderId="58" xfId="2" applyFont="1" applyFill="1" applyBorder="1" applyAlignment="1" applyProtection="1">
      <alignment horizontal="right"/>
    </xf>
    <xf numFmtId="220" fontId="17" fillId="0" borderId="58" xfId="2" applyNumberFormat="1" applyFont="1" applyFill="1" applyBorder="1" applyAlignment="1" applyProtection="1">
      <alignment horizontal="right"/>
    </xf>
    <xf numFmtId="38" fontId="17" fillId="33" borderId="61" xfId="2" applyFont="1" applyFill="1" applyBorder="1" applyAlignment="1" applyProtection="1">
      <alignment horizontal="right"/>
      <protection locked="0"/>
    </xf>
    <xf numFmtId="220" fontId="17" fillId="33" borderId="10" xfId="2" applyNumberFormat="1" applyFont="1" applyFill="1" applyBorder="1" applyAlignment="1" applyProtection="1">
      <alignment horizontal="right"/>
      <protection locked="0"/>
    </xf>
    <xf numFmtId="3" fontId="124" fillId="33" borderId="32" xfId="2" applyNumberFormat="1" applyFont="1" applyFill="1" applyBorder="1" applyAlignment="1" applyProtection="1">
      <alignment horizontal="right"/>
      <protection locked="0"/>
    </xf>
    <xf numFmtId="184" fontId="124" fillId="33" borderId="30" xfId="1" applyNumberFormat="1" applyFont="1" applyFill="1" applyBorder="1" applyAlignment="1" applyProtection="1">
      <alignment horizontal="right"/>
      <protection locked="0"/>
    </xf>
    <xf numFmtId="184" fontId="124" fillId="33" borderId="37" xfId="1" applyNumberFormat="1" applyFont="1" applyFill="1" applyBorder="1" applyAlignment="1" applyProtection="1">
      <alignment horizontal="right"/>
      <protection locked="0"/>
    </xf>
    <xf numFmtId="38" fontId="124" fillId="33" borderId="37" xfId="2" applyFont="1" applyFill="1" applyBorder="1" applyAlignment="1" applyProtection="1">
      <alignment horizontal="right" wrapText="1"/>
      <protection locked="0"/>
    </xf>
    <xf numFmtId="38" fontId="17" fillId="32" borderId="68" xfId="2" applyFont="1" applyFill="1" applyBorder="1" applyAlignment="1" applyProtection="1">
      <alignment horizontal="right"/>
      <protection locked="0"/>
    </xf>
    <xf numFmtId="38" fontId="17" fillId="32" borderId="28" xfId="2" applyFont="1" applyFill="1" applyBorder="1" applyAlignment="1" applyProtection="1">
      <alignment horizontal="right"/>
      <protection locked="0"/>
    </xf>
    <xf numFmtId="38" fontId="17" fillId="32" borderId="55" xfId="2" applyFont="1" applyFill="1" applyBorder="1" applyAlignment="1" applyProtection="1">
      <alignment horizontal="right"/>
      <protection locked="0"/>
    </xf>
    <xf numFmtId="38" fontId="17" fillId="33" borderId="85" xfId="2" applyFont="1" applyFill="1" applyBorder="1" applyAlignment="1">
      <alignment horizontal="center"/>
    </xf>
    <xf numFmtId="38" fontId="17" fillId="33" borderId="86" xfId="2" applyFont="1" applyFill="1" applyBorder="1" applyAlignment="1" applyProtection="1">
      <alignment horizontal="right"/>
      <protection locked="0"/>
    </xf>
    <xf numFmtId="38" fontId="17" fillId="33" borderId="81" xfId="2" applyFont="1" applyFill="1" applyBorder="1" applyAlignment="1" applyProtection="1">
      <alignment horizontal="right"/>
      <protection locked="0"/>
    </xf>
    <xf numFmtId="38" fontId="17" fillId="33" borderId="87" xfId="2" applyFont="1" applyFill="1" applyBorder="1" applyAlignment="1" applyProtection="1">
      <alignment horizontal="right"/>
      <protection locked="0"/>
    </xf>
    <xf numFmtId="184" fontId="24" fillId="33" borderId="82" xfId="1" applyNumberFormat="1" applyFont="1" applyFill="1" applyBorder="1" applyAlignment="1" applyProtection="1">
      <alignment horizontal="right"/>
      <protection locked="0"/>
    </xf>
    <xf numFmtId="38" fontId="17" fillId="33" borderId="85" xfId="2" applyFont="1" applyFill="1" applyBorder="1" applyAlignment="1" applyProtection="1">
      <alignment horizontal="right"/>
      <protection locked="0"/>
    </xf>
    <xf numFmtId="38" fontId="17" fillId="33" borderId="17" xfId="2" applyFont="1" applyFill="1" applyBorder="1" applyAlignment="1" applyProtection="1">
      <alignment horizontal="right"/>
      <protection locked="0"/>
    </xf>
    <xf numFmtId="38" fontId="24" fillId="33" borderId="0" xfId="2" applyFont="1" applyFill="1" applyBorder="1" applyAlignment="1" applyProtection="1">
      <alignment horizontal="right"/>
      <protection locked="0"/>
    </xf>
    <xf numFmtId="38" fontId="24" fillId="33" borderId="6" xfId="2" applyFont="1" applyFill="1" applyBorder="1" applyAlignment="1" applyProtection="1">
      <alignment horizontal="right"/>
      <protection locked="0"/>
    </xf>
    <xf numFmtId="38" fontId="17" fillId="33" borderId="0" xfId="2" applyFont="1" applyFill="1" applyBorder="1" applyAlignment="1" applyProtection="1">
      <alignment horizontal="right"/>
      <protection locked="0"/>
    </xf>
    <xf numFmtId="38" fontId="17" fillId="33" borderId="23" xfId="2" applyFont="1" applyFill="1" applyBorder="1" applyAlignment="1" applyProtection="1">
      <alignment horizontal="right"/>
      <protection locked="0"/>
    </xf>
    <xf numFmtId="38" fontId="17" fillId="33" borderId="10" xfId="2" applyFont="1" applyFill="1" applyBorder="1" applyAlignment="1" applyProtection="1">
      <alignment horizontal="right"/>
      <protection locked="0"/>
    </xf>
    <xf numFmtId="38" fontId="17" fillId="33" borderId="85" xfId="2" applyFont="1" applyFill="1" applyBorder="1" applyAlignment="1" applyProtection="1">
      <alignment horizontal="center"/>
    </xf>
    <xf numFmtId="38" fontId="17" fillId="33" borderId="86" xfId="2" applyFont="1" applyFill="1" applyBorder="1" applyAlignment="1" applyProtection="1">
      <alignment horizontal="right"/>
    </xf>
    <xf numFmtId="38" fontId="17" fillId="33" borderId="81" xfId="2" applyFont="1" applyFill="1" applyBorder="1" applyAlignment="1" applyProtection="1">
      <alignment horizontal="right"/>
    </xf>
    <xf numFmtId="38" fontId="17" fillId="33" borderId="87" xfId="2" applyFont="1" applyFill="1" applyBorder="1" applyAlignment="1" applyProtection="1">
      <alignment horizontal="right"/>
    </xf>
    <xf numFmtId="184" fontId="24" fillId="33" borderId="82" xfId="1" applyNumberFormat="1" applyFont="1" applyFill="1" applyBorder="1" applyAlignment="1" applyProtection="1">
      <alignment horizontal="right"/>
    </xf>
    <xf numFmtId="38" fontId="17" fillId="33" borderId="85" xfId="2" applyFont="1" applyFill="1" applyBorder="1" applyAlignment="1" applyProtection="1">
      <alignment horizontal="right"/>
    </xf>
    <xf numFmtId="38" fontId="17" fillId="33" borderId="82" xfId="2" applyFont="1" applyFill="1" applyBorder="1" applyAlignment="1" applyProtection="1">
      <alignment horizontal="right"/>
    </xf>
    <xf numFmtId="38" fontId="24" fillId="33" borderId="16" xfId="2" applyFont="1" applyFill="1" applyBorder="1" applyAlignment="1" applyProtection="1">
      <alignment horizontal="right"/>
    </xf>
    <xf numFmtId="38" fontId="24" fillId="33" borderId="58" xfId="2" applyFont="1" applyFill="1" applyBorder="1" applyAlignment="1" applyProtection="1">
      <alignment horizontal="right"/>
    </xf>
    <xf numFmtId="38" fontId="17" fillId="33" borderId="16" xfId="2" applyFont="1" applyFill="1" applyBorder="1" applyAlignment="1" applyProtection="1">
      <alignment horizontal="right"/>
    </xf>
    <xf numFmtId="38" fontId="17" fillId="33" borderId="88" xfId="2" applyFont="1" applyFill="1" applyBorder="1" applyAlignment="1" applyProtection="1">
      <alignment horizontal="right"/>
    </xf>
    <xf numFmtId="38" fontId="17" fillId="33" borderId="58" xfId="2" applyFont="1" applyFill="1" applyBorder="1" applyAlignment="1" applyProtection="1">
      <alignment horizontal="right"/>
    </xf>
    <xf numFmtId="220" fontId="17" fillId="33" borderId="58" xfId="2" applyNumberFormat="1" applyFont="1" applyFill="1" applyBorder="1" applyAlignment="1" applyProtection="1">
      <alignment horizontal="right"/>
    </xf>
    <xf numFmtId="38" fontId="17" fillId="0" borderId="27" xfId="2" applyFont="1" applyFill="1" applyBorder="1" applyAlignment="1">
      <alignment horizontal="center"/>
    </xf>
    <xf numFmtId="38" fontId="17" fillId="0" borderId="61" xfId="2" applyFont="1" applyFill="1" applyBorder="1" applyAlignment="1" applyProtection="1">
      <alignment horizontal="right"/>
      <protection locked="0"/>
    </xf>
    <xf numFmtId="38" fontId="17" fillId="0" borderId="32" xfId="2" applyFont="1" applyFill="1" applyBorder="1" applyAlignment="1" applyProtection="1">
      <alignment horizontal="right"/>
      <protection locked="0"/>
    </xf>
    <xf numFmtId="38" fontId="17" fillId="0" borderId="67" xfId="2" applyFont="1" applyFill="1" applyBorder="1" applyAlignment="1" applyProtection="1">
      <alignment horizontal="right"/>
      <protection locked="0"/>
    </xf>
    <xf numFmtId="184" fontId="24" fillId="0" borderId="34" xfId="1" applyNumberFormat="1" applyFont="1" applyFill="1" applyBorder="1" applyAlignment="1" applyProtection="1">
      <alignment horizontal="right"/>
      <protection locked="0"/>
    </xf>
    <xf numFmtId="38" fontId="17" fillId="0" borderId="27" xfId="2" applyFont="1" applyFill="1" applyBorder="1" applyAlignment="1" applyProtection="1">
      <alignment horizontal="right"/>
      <protection locked="0"/>
    </xf>
    <xf numFmtId="38" fontId="17" fillId="0" borderId="34" xfId="2" applyFont="1" applyFill="1" applyBorder="1" applyAlignment="1" applyProtection="1">
      <alignment horizontal="right"/>
      <protection locked="0"/>
    </xf>
    <xf numFmtId="38" fontId="24" fillId="0" borderId="30"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0" xfId="2" applyFont="1" applyFill="1" applyBorder="1" applyAlignment="1" applyProtection="1">
      <alignment horizontal="right"/>
      <protection locked="0"/>
    </xf>
    <xf numFmtId="38" fontId="17" fillId="0" borderId="10" xfId="2" applyFont="1" applyFill="1" applyBorder="1" applyAlignment="1" applyProtection="1">
      <alignment horizontal="right"/>
      <protection locked="0"/>
    </xf>
    <xf numFmtId="220" fontId="17" fillId="0" borderId="10" xfId="2" applyNumberFormat="1" applyFont="1" applyFill="1" applyBorder="1" applyAlignment="1" applyProtection="1">
      <alignment horizontal="right"/>
      <protection locked="0"/>
    </xf>
    <xf numFmtId="38" fontId="124" fillId="33" borderId="0" xfId="2" applyFont="1" applyFill="1" applyBorder="1" applyAlignment="1" applyProtection="1">
      <alignment horizontal="right"/>
      <protection locked="0"/>
    </xf>
    <xf numFmtId="184" fontId="124" fillId="33" borderId="17" xfId="1" applyNumberFormat="1" applyFont="1" applyFill="1" applyBorder="1" applyAlignment="1" applyProtection="1">
      <alignment horizontal="right"/>
      <protection locked="0"/>
    </xf>
    <xf numFmtId="38" fontId="124" fillId="33" borderId="46" xfId="2" applyFont="1" applyFill="1" applyBorder="1" applyAlignment="1" applyProtection="1">
      <alignment horizontal="center"/>
      <protection locked="0"/>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21" xfId="0" applyFont="1" applyBorder="1" applyAlignment="1">
      <alignment horizontal="left" wrapText="1"/>
    </xf>
    <xf numFmtId="0" fontId="26" fillId="0" borderId="3" xfId="0" applyFont="1" applyBorder="1" applyAlignment="1">
      <alignment horizontal="left" wrapText="1"/>
    </xf>
    <xf numFmtId="0" fontId="26" fillId="0" borderId="3" xfId="0" applyFont="1" applyBorder="1" applyAlignment="1">
      <alignment horizontal="left"/>
    </xf>
    <xf numFmtId="0" fontId="26" fillId="0" borderId="25" xfId="0" applyFont="1" applyBorder="1" applyAlignment="1">
      <alignment horizontal="left"/>
    </xf>
    <xf numFmtId="0" fontId="26" fillId="0" borderId="13" xfId="0" applyFont="1" applyBorder="1" applyAlignment="1">
      <alignment horizontal="left"/>
    </xf>
    <xf numFmtId="0" fontId="26" fillId="0" borderId="53" xfId="0" applyFont="1" applyBorder="1" applyAlignment="1">
      <alignment horizontal="left" wrapText="1"/>
    </xf>
    <xf numFmtId="0" fontId="26" fillId="0" borderId="0" xfId="0" applyFont="1" applyAlignment="1">
      <alignment horizontal="left" wrapText="1"/>
    </xf>
    <xf numFmtId="0" fontId="26" fillId="0" borderId="22" xfId="0" applyFont="1" applyBorder="1" applyAlignment="1">
      <alignment horizontal="left" wrapText="1"/>
    </xf>
    <xf numFmtId="0" fontId="26" fillId="0" borderId="17" xfId="0" applyFont="1" applyBorder="1" applyAlignment="1">
      <alignment horizontal="left" wrapText="1"/>
    </xf>
    <xf numFmtId="0" fontId="26" fillId="0" borderId="24" xfId="0" applyFont="1" applyBorder="1" applyAlignment="1">
      <alignment horizontal="left" wrapText="1"/>
    </xf>
    <xf numFmtId="0" fontId="26" fillId="0" borderId="23" xfId="0" applyFont="1" applyBorder="1" applyAlignment="1">
      <alignment horizontal="left" wrapText="1"/>
    </xf>
    <xf numFmtId="0" fontId="26" fillId="0" borderId="25" xfId="0" applyFont="1" applyBorder="1" applyAlignment="1">
      <alignment horizontal="left" wrapText="1"/>
    </xf>
    <xf numFmtId="0" fontId="26" fillId="0" borderId="13" xfId="0" applyFont="1" applyBorder="1" applyAlignment="1">
      <alignment horizontal="left" wrapText="1"/>
    </xf>
    <xf numFmtId="0" fontId="26" fillId="0" borderId="11" xfId="0" applyFont="1" applyBorder="1" applyAlignment="1">
      <alignment horizontal="left" wrapText="1"/>
    </xf>
    <xf numFmtId="0" fontId="26" fillId="0" borderId="31" xfId="0" applyFont="1" applyBorder="1" applyAlignment="1">
      <alignment horizontal="left" wrapText="1"/>
    </xf>
    <xf numFmtId="0" fontId="26" fillId="0" borderId="33" xfId="0" applyFont="1" applyBorder="1" applyAlignment="1">
      <alignment horizontal="left" wrapText="1"/>
    </xf>
    <xf numFmtId="0" fontId="26" fillId="0" borderId="35" xfId="0" applyFont="1" applyBorder="1" applyAlignment="1">
      <alignment horizontal="left" wrapText="1"/>
    </xf>
    <xf numFmtId="0" fontId="8" fillId="0" borderId="0" xfId="0" applyFont="1" applyAlignment="1">
      <alignment horizontal="left" vertical="center" wrapText="1"/>
    </xf>
    <xf numFmtId="0" fontId="26" fillId="0" borderId="83" xfId="0" applyFont="1" applyBorder="1" applyAlignment="1">
      <alignment horizontal="left" wrapText="1"/>
    </xf>
    <xf numFmtId="0" fontId="26" fillId="0" borderId="60" xfId="0" applyFont="1" applyBorder="1" applyAlignment="1">
      <alignment horizontal="left" wrapText="1"/>
    </xf>
    <xf numFmtId="0" fontId="26" fillId="28" borderId="23" xfId="0" applyFont="1" applyFill="1" applyBorder="1" applyAlignment="1">
      <alignment horizontal="center"/>
    </xf>
    <xf numFmtId="0" fontId="26" fillId="28" borderId="0" xfId="0" applyFont="1" applyFill="1" applyAlignment="1">
      <alignment horizontal="center"/>
    </xf>
    <xf numFmtId="0" fontId="26" fillId="0" borderId="65" xfId="0" applyFont="1" applyBorder="1" applyAlignment="1">
      <alignment horizontal="left" wrapText="1"/>
    </xf>
    <xf numFmtId="0" fontId="26" fillId="28" borderId="64" xfId="0" applyFont="1" applyFill="1" applyBorder="1" applyAlignment="1">
      <alignment horizontal="center" wrapText="1"/>
    </xf>
    <xf numFmtId="0" fontId="26" fillId="28" borderId="73" xfId="0" applyFont="1" applyFill="1" applyBorder="1" applyAlignment="1">
      <alignment horizontal="center" wrapText="1"/>
    </xf>
    <xf numFmtId="0" fontId="15" fillId="0" borderId="21"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38" fontId="26" fillId="0" borderId="24" xfId="2" applyFont="1" applyFill="1" applyBorder="1" applyAlignment="1">
      <alignment horizontal="left" wrapText="1"/>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17" xfId="2" applyFont="1" applyFill="1" applyBorder="1" applyAlignment="1">
      <alignment horizontal="left" wrapText="1"/>
    </xf>
    <xf numFmtId="0" fontId="26" fillId="0" borderId="73" xfId="0" applyFont="1" applyBorder="1" applyAlignment="1">
      <alignment horizontal="center"/>
    </xf>
    <xf numFmtId="0" fontId="26" fillId="0" borderId="30" xfId="0" applyFont="1" applyBorder="1" applyAlignment="1">
      <alignment horizontal="center"/>
    </xf>
    <xf numFmtId="0" fontId="26" fillId="0" borderId="0" xfId="0" applyFont="1" applyAlignment="1">
      <alignment horizontal="left"/>
    </xf>
    <xf numFmtId="0" fontId="26" fillId="0" borderId="31" xfId="0" applyFont="1" applyBorder="1" applyAlignment="1">
      <alignment horizontal="left"/>
    </xf>
    <xf numFmtId="0" fontId="26" fillId="0" borderId="33" xfId="0" applyFont="1" applyBorder="1" applyAlignment="1">
      <alignment horizontal="left"/>
    </xf>
    <xf numFmtId="0" fontId="26" fillId="0" borderId="17" xfId="0" applyFont="1" applyBorder="1" applyAlignment="1">
      <alignment horizontal="left"/>
    </xf>
    <xf numFmtId="0" fontId="26" fillId="0" borderId="35" xfId="0" applyFont="1" applyBorder="1" applyAlignment="1">
      <alignment horizontal="left"/>
    </xf>
    <xf numFmtId="49" fontId="8" fillId="0" borderId="5" xfId="0" applyNumberFormat="1" applyFont="1" applyBorder="1" applyAlignment="1">
      <alignment horizontal="center" vertical="center"/>
    </xf>
  </cellXfs>
  <cellStyles count="340">
    <cellStyle name="-" xfId="4" xr:uid="{00000000-0005-0000-0000-000007000000}"/>
    <cellStyle name="-#,###" xfId="5" xr:uid="{00000000-0005-0000-0000-000008000000}"/>
    <cellStyle name="??&amp;O?&amp;H?_x0008__x000f__x0007_?_x0007__x0001__x0001_" xfId="6" xr:uid="{00000000-0005-0000-0000-000009000000}"/>
    <cellStyle name="??&amp;O?&amp;H?_x0008_??_x0007__x0001__x0001_" xfId="7" xr:uid="{00000000-0005-0000-0000-00000A000000}"/>
    <cellStyle name="_~1547116" xfId="8" xr:uid="{00000000-0005-0000-0000-00000B000000}"/>
    <cellStyle name="_050_24113_0804" xfId="9" xr:uid="{00000000-0005-0000-0000-00000C000000}"/>
    <cellStyle name="_050_24113_0805" xfId="10" xr:uid="{00000000-0005-0000-0000-00000D000000}"/>
    <cellStyle name="_050_24114_0805" xfId="11" xr:uid="{00000000-0005-0000-0000-00000E000000}"/>
    <cellStyle name="_'99상반기경영개선활동결과(게시용)" xfId="12" xr:uid="{00000000-0005-0000-0000-00000F000000}"/>
    <cellStyle name="_A1.1" xfId="13" xr:uid="{00000000-0005-0000-0000-000010000000}"/>
    <cellStyle name="_A-9" xfId="14" xr:uid="{00000000-0005-0000-0000-000011000000}"/>
    <cellStyle name="_A-9_Sweep Query" xfId="15" xr:uid="{00000000-0005-0000-0000-000012000000}"/>
    <cellStyle name="_A-9-1" xfId="16" xr:uid="{00000000-0005-0000-0000-000013000000}"/>
    <cellStyle name="_A-9-1_Sweep Query" xfId="17" xr:uid="{00000000-0005-0000-0000-000014000000}"/>
    <cellStyle name="_A-9-2" xfId="18" xr:uid="{00000000-0005-0000-0000-000015000000}"/>
    <cellStyle name="_A-9-2_Sweep Query" xfId="19" xr:uid="{00000000-0005-0000-0000-000016000000}"/>
    <cellStyle name="_FY06 ADJ" xfId="20" xr:uid="{00000000-0005-0000-0000-000017000000}"/>
    <cellStyle name="_FY06 comm&amp;bonus accrual" xfId="21" xr:uid="{00000000-0005-0000-0000-000018000000}"/>
    <cellStyle name="_FY07 APAC QUOTA CLUB draft2_a" xfId="22" xr:uid="{00000000-0005-0000-0000-000019000000}"/>
    <cellStyle name="_FY08Q4 una_cash" xfId="23" xr:uid="{00000000-0005-0000-0000-00001A000000}"/>
    <cellStyle name="_GL-BJ-APR-07 Quota Club Accrual Apr-08" xfId="24" xr:uid="{00000000-0005-0000-0000-00001B000000}"/>
    <cellStyle name="_GL-BJ-FEB-14 Quota Club Accrual Feb-08" xfId="25" xr:uid="{00000000-0005-0000-0000-00001C000000}"/>
    <cellStyle name="_GL-BJ-MAY-01 Quota Club Trueup FY07 May08" xfId="26" xr:uid="{00000000-0005-0000-0000-00001D000000}"/>
    <cellStyle name="_GL-BJ-MAY-02 Quota Club Accrual May08" xfId="27" xr:uid="{00000000-0005-0000-0000-00001E000000}"/>
    <cellStyle name="_GL-NS-APR-02-Non PO Accrual Exp-Apr-08" xfId="28" xr:uid="{00000000-0005-0000-0000-00001F000000}"/>
    <cellStyle name="_GL-NS-FEB-05-Non PO Accrual Exp-Feb-08" xfId="29" xr:uid="{00000000-0005-0000-0000-000020000000}"/>
    <cellStyle name="_GL-NS-MAY-06-Non PO Accrual Exp-May-08" xfId="30" xr:uid="{00000000-0005-0000-0000-000021000000}"/>
    <cellStyle name="_Korea Siebel Accounting JOurnal(2006.8.14 updated)" xfId="31" xr:uid="{00000000-0005-0000-0000-000022000000}"/>
    <cellStyle name="_MJ25-MAY-06-SEIBEL EMP SERVERANCEPAY ACCRUAL" xfId="32" xr:uid="{00000000-0005-0000-0000-000023000000}"/>
    <cellStyle name="_MNDI Tracking File-FY06-Accruals1" xfId="33" xr:uid="{00000000-0005-0000-0000-000024000000}"/>
    <cellStyle name="_Payable Final all - May-2008_Local" xfId="34" xr:uid="{00000000-0005-0000-0000-000025000000}"/>
    <cellStyle name="_Payable Final all - Nov-2007 " xfId="35" xr:uid="{00000000-0005-0000-0000-000026000000}"/>
    <cellStyle name="_suzie_KR_Accrual_(Jan 2006)" xfId="36" xr:uid="{00000000-0005-0000-0000-000027000000}"/>
    <cellStyle name="_감사조서1" xfId="37" xr:uid="{00000000-0005-0000-0000-000028000000}"/>
    <cellStyle name="_동양매직-03(LHY)" xfId="38" xr:uid="{00000000-0005-0000-0000-000029000000}"/>
    <cellStyle name="_별첨(계획서및실적서양식)" xfId="39" xr:uid="{00000000-0005-0000-0000-00002A000000}"/>
    <cellStyle name="_별첨(계획서및실적서양식)_1" xfId="40" xr:uid="{00000000-0005-0000-0000-00002B000000}"/>
    <cellStyle name="_별첨(계획서및실적서양식)_1_Sweep Query" xfId="41" xr:uid="{00000000-0005-0000-0000-00002C000000}"/>
    <cellStyle name="-_안진조서요약-유로넥스트(03)(LHY)" xfId="42" xr:uid="{00000000-0005-0000-0000-00002D000000}"/>
    <cellStyle name="-_안진조서요약-유로넥스트(03)(LHY)_안진조서요약-유로넥스트(03)(LHY)" xfId="43" xr:uid="{00000000-0005-0000-0000-00002E000000}"/>
    <cellStyle name="-_안진조서요약-유로넥스트(03)(LHY)_안진조서요약-유로넥스트(03)(LHY)_유로넥스트(03)(LHY)" xfId="44" xr:uid="{00000000-0005-0000-0000-00002F000000}"/>
    <cellStyle name="-_안진조서요약-유로넥스트(03)(LHY)_유로넥스트(03)(LHY)" xfId="45" xr:uid="{00000000-0005-0000-0000-000030000000}"/>
    <cellStyle name="-_안진조서요약-유로넥스트(03)(LHY)_유로넥스트(03)(LHY)_유로넥스트(03)(LHY)" xfId="46" xr:uid="{00000000-0005-0000-0000-000031000000}"/>
    <cellStyle name="_양식" xfId="47" xr:uid="{00000000-0005-0000-0000-000032000000}"/>
    <cellStyle name="_양식_1" xfId="48" xr:uid="{00000000-0005-0000-0000-000033000000}"/>
    <cellStyle name="_양식_2" xfId="49" xr:uid="{00000000-0005-0000-0000-000034000000}"/>
    <cellStyle name="_양식_Sweep Query" xfId="50" xr:uid="{00000000-0005-0000-0000-000035000000}"/>
    <cellStyle name="_양양레미콘" xfId="51" xr:uid="{00000000-0005-0000-0000-000036000000}"/>
    <cellStyle name="-_유로넥스트(03)(LHY)" xfId="52" xr:uid="{00000000-0005-0000-0000-000037000000}"/>
    <cellStyle name="_유첨3(서식)" xfId="53" xr:uid="{00000000-0005-0000-0000-000038000000}"/>
    <cellStyle name="_유첨3(서식)_1" xfId="54" xr:uid="{00000000-0005-0000-0000-000039000000}"/>
    <cellStyle name="_유첨3(서식)_Sweep Query" xfId="55" xr:uid="{00000000-0005-0000-0000-00003A000000}"/>
    <cellStyle name="_지정과제2차심의list" xfId="56" xr:uid="{00000000-0005-0000-0000-00003B000000}"/>
    <cellStyle name="_지정과제2차심의list_1" xfId="57" xr:uid="{00000000-0005-0000-0000-00003C000000}"/>
    <cellStyle name="_지정과제2차심의list_2" xfId="58" xr:uid="{00000000-0005-0000-0000-00003D000000}"/>
    <cellStyle name="_지정과제2차심의list_2_Sweep Query" xfId="59" xr:uid="{00000000-0005-0000-0000-00003E000000}"/>
    <cellStyle name="_지정과제2차심의결과" xfId="60" xr:uid="{00000000-0005-0000-0000-00003F000000}"/>
    <cellStyle name="_지정과제2차심의결과(금액조정후최종)" xfId="61" xr:uid="{00000000-0005-0000-0000-000040000000}"/>
    <cellStyle name="_지정과제2차심의결과(금액조정후최종)_1" xfId="62" xr:uid="{00000000-0005-0000-0000-000041000000}"/>
    <cellStyle name="_지정과제2차심의결과(금액조정후최종)_Sweep Query" xfId="63" xr:uid="{00000000-0005-0000-0000-000042000000}"/>
    <cellStyle name="_지정과제2차심의결과_1" xfId="64" xr:uid="{00000000-0005-0000-0000-000043000000}"/>
    <cellStyle name="_지정과제2차심의결과_Sweep Query" xfId="65" xr:uid="{00000000-0005-0000-0000-000044000000}"/>
    <cellStyle name="_집중관리(981231)" xfId="66" xr:uid="{00000000-0005-0000-0000-000045000000}"/>
    <cellStyle name="_집중관리(981231)_1" xfId="67" xr:uid="{00000000-0005-0000-0000-000046000000}"/>
    <cellStyle name="_집중관리(981231)_1_Sweep Query" xfId="68" xr:uid="{00000000-0005-0000-0000-000047000000}"/>
    <cellStyle name="_집중관리(지정과제및 양식)" xfId="69" xr:uid="{00000000-0005-0000-0000-000048000000}"/>
    <cellStyle name="_집중관리(지정과제및 양식)_1" xfId="70" xr:uid="{00000000-0005-0000-0000-000049000000}"/>
    <cellStyle name="_집중관리(지정과제및 양식)_Sweep Query" xfId="71" xr:uid="{00000000-0005-0000-0000-00004A000000}"/>
    <cellStyle name="¿­¾îº» ÇÏÀÌÆÛ¸µÅ©" xfId="72" xr:uid="{00000000-0005-0000-0000-00004B000000}"/>
    <cellStyle name="⥜준_제강원가최종_1" xfId="297" xr:uid="{00000000-0005-0000-0000-00002C010000}"/>
    <cellStyle name="\|IEEnCp[N" xfId="73" xr:uid="{00000000-0005-0000-0000-00004C000000}"/>
    <cellStyle name="nCp[N" xfId="180" xr:uid="{00000000-0005-0000-0000-0000B7000000}"/>
    <cellStyle name="0,0_x000d__x000a_NA_x000d__x000a_" xfId="74" xr:uid="{00000000-0005-0000-0000-00004D000000}"/>
    <cellStyle name="1 000 K?_RESULTS" xfId="75" xr:uid="{00000000-0005-0000-0000-00004E000000}"/>
    <cellStyle name="¹eºÐA²_±aA¸" xfId="76" xr:uid="{00000000-0005-0000-0000-00004F000000}"/>
    <cellStyle name="20% - Accent1" xfId="77" xr:uid="{00000000-0005-0000-0000-000050000000}"/>
    <cellStyle name="20% - Accent2" xfId="78" xr:uid="{00000000-0005-0000-0000-000051000000}"/>
    <cellStyle name="20% - Accent3" xfId="79" xr:uid="{00000000-0005-0000-0000-000052000000}"/>
    <cellStyle name="20% - Accent4" xfId="80" xr:uid="{00000000-0005-0000-0000-000053000000}"/>
    <cellStyle name="20% - Accent5" xfId="81" xr:uid="{00000000-0005-0000-0000-000054000000}"/>
    <cellStyle name="20% - Accent6" xfId="82" xr:uid="{00000000-0005-0000-0000-000055000000}"/>
    <cellStyle name="_x0004_3;_x0018_" xfId="83" xr:uid="{00000000-0005-0000-0000-000056000000}"/>
    <cellStyle name="40% - Accent1" xfId="84" xr:uid="{00000000-0005-0000-0000-000057000000}"/>
    <cellStyle name="40% - Accent2" xfId="85" xr:uid="{00000000-0005-0000-0000-000058000000}"/>
    <cellStyle name="40% - Accent3" xfId="86" xr:uid="{00000000-0005-0000-0000-000059000000}"/>
    <cellStyle name="40% - Accent4" xfId="87" xr:uid="{00000000-0005-0000-0000-00005A000000}"/>
    <cellStyle name="40% - Accent5" xfId="88" xr:uid="{00000000-0005-0000-0000-00005B000000}"/>
    <cellStyle name="40% - Accent6" xfId="89" xr:uid="{00000000-0005-0000-0000-00005C000000}"/>
    <cellStyle name="60% - Accent1" xfId="90" xr:uid="{00000000-0005-0000-0000-00005D000000}"/>
    <cellStyle name="60% - Accent2" xfId="91" xr:uid="{00000000-0005-0000-0000-00005E000000}"/>
    <cellStyle name="60% - Accent3" xfId="92" xr:uid="{00000000-0005-0000-0000-00005F000000}"/>
    <cellStyle name="60% - Accent4" xfId="93" xr:uid="{00000000-0005-0000-0000-000060000000}"/>
    <cellStyle name="60% - Accent5" xfId="94" xr:uid="{00000000-0005-0000-0000-000061000000}"/>
    <cellStyle name="60% - Accent6" xfId="95" xr:uid="{00000000-0005-0000-0000-000062000000}"/>
    <cellStyle name="Accent1" xfId="96" xr:uid="{00000000-0005-0000-0000-000063000000}"/>
    <cellStyle name="Accent2" xfId="97" xr:uid="{00000000-0005-0000-0000-000064000000}"/>
    <cellStyle name="Accent3" xfId="98" xr:uid="{00000000-0005-0000-0000-000065000000}"/>
    <cellStyle name="Accent4" xfId="99" xr:uid="{00000000-0005-0000-0000-000066000000}"/>
    <cellStyle name="Accent5" xfId="100" xr:uid="{00000000-0005-0000-0000-000067000000}"/>
    <cellStyle name="Accent6" xfId="101" xr:uid="{00000000-0005-0000-0000-000068000000}"/>
    <cellStyle name="Accounting" xfId="102" xr:uid="{00000000-0005-0000-0000-000069000000}"/>
    <cellStyle name="AeE­ [0]_¿­¸° INT" xfId="103" xr:uid="{00000000-0005-0000-0000-00006A000000}"/>
    <cellStyle name="ÅëÈ­ [0]_97MBO" xfId="104" xr:uid="{00000000-0005-0000-0000-00006B000000}"/>
    <cellStyle name="AeE­_¿­¸° INT" xfId="105" xr:uid="{00000000-0005-0000-0000-00006C000000}"/>
    <cellStyle name="ÅëÈ­_97MBO" xfId="106" xr:uid="{00000000-0005-0000-0000-00006D000000}"/>
    <cellStyle name="AoA¤μCAo ¾EA½" xfId="107" xr:uid="{00000000-0005-0000-0000-00006E000000}"/>
    <cellStyle name="AÞ¸¶ [0]_¿­¸° INT" xfId="108" xr:uid="{00000000-0005-0000-0000-00006F000000}"/>
    <cellStyle name="ÄÞ¸¶ [0]_95" xfId="109" xr:uid="{00000000-0005-0000-0000-000070000000}"/>
    <cellStyle name="AÞ¸¶_¿­¸° INT" xfId="110" xr:uid="{00000000-0005-0000-0000-000071000000}"/>
    <cellStyle name="ÄÞ¸¶_95" xfId="111" xr:uid="{00000000-0005-0000-0000-000072000000}"/>
    <cellStyle name="Bad" xfId="112" xr:uid="{00000000-0005-0000-0000-000073000000}"/>
    <cellStyle name="Body" xfId="113" xr:uid="{00000000-0005-0000-0000-000074000000}"/>
    <cellStyle name="BOLD - Style2" xfId="114" xr:uid="{00000000-0005-0000-0000-000075000000}"/>
    <cellStyle name="C￥AØ_¸AAa.¼OAI " xfId="115" xr:uid="{00000000-0005-0000-0000-000076000000}"/>
    <cellStyle name="Ç¥ÁØ_AR" xfId="116" xr:uid="{00000000-0005-0000-0000-000077000000}"/>
    <cellStyle name="C00L" xfId="117" xr:uid="{00000000-0005-0000-0000-000078000000}"/>
    <cellStyle name="Calc Currency (0)" xfId="118" xr:uid="{00000000-0005-0000-0000-000079000000}"/>
    <cellStyle name="Calculation" xfId="119" xr:uid="{00000000-0005-0000-0000-00007A000000}"/>
    <cellStyle name="category" xfId="120" xr:uid="{00000000-0005-0000-0000-00007B000000}"/>
    <cellStyle name="CCY$[0]" xfId="121" xr:uid="{00000000-0005-0000-0000-00007C000000}"/>
    <cellStyle name="CCY$[2]" xfId="122" xr:uid="{00000000-0005-0000-0000-00007D000000}"/>
    <cellStyle name="CCY\[0]" xfId="123" xr:uid="{00000000-0005-0000-0000-00007E000000}"/>
    <cellStyle name="Char" xfId="124" xr:uid="{00000000-0005-0000-0000-00007F000000}"/>
    <cellStyle name="Check Cell" xfId="125" xr:uid="{00000000-0005-0000-0000-000080000000}"/>
    <cellStyle name="ÇÏÀÌÆÛ¸µÅ©" xfId="126" xr:uid="{00000000-0005-0000-0000-000081000000}"/>
    <cellStyle name="ColumnAttributeAbovePrompt" xfId="127" xr:uid="{00000000-0005-0000-0000-000082000000}"/>
    <cellStyle name="ColumnAttributePrompt" xfId="128" xr:uid="{00000000-0005-0000-0000-000083000000}"/>
    <cellStyle name="ColumnAttributeValue" xfId="129" xr:uid="{00000000-0005-0000-0000-000084000000}"/>
    <cellStyle name="ColumnHeadingPrompt" xfId="130" xr:uid="{00000000-0005-0000-0000-000085000000}"/>
    <cellStyle name="ColumnHeadingValue" xfId="131" xr:uid="{00000000-0005-0000-0000-000086000000}"/>
    <cellStyle name="Comma 108" xfId="317" xr:uid="{00000000-0005-0000-0000-000040010000}"/>
    <cellStyle name="comma zerodec" xfId="132" xr:uid="{00000000-0005-0000-0000-000087000000}"/>
    <cellStyle name="Comma[0]" xfId="133" xr:uid="{00000000-0005-0000-0000-000088000000}"/>
    <cellStyle name="Comma[2]" xfId="134" xr:uid="{00000000-0005-0000-0000-000089000000}"/>
    <cellStyle name="Copied" xfId="135" xr:uid="{00000000-0005-0000-0000-00008A000000}"/>
    <cellStyle name="Currency 16" xfId="318" xr:uid="{00000000-0005-0000-0000-000041010000}"/>
    <cellStyle name="Currency1" xfId="136" xr:uid="{00000000-0005-0000-0000-00008B000000}"/>
    <cellStyle name="dak" xfId="137" xr:uid="{00000000-0005-0000-0000-00008C000000}"/>
    <cellStyle name="Date" xfId="138" xr:uid="{00000000-0005-0000-0000-00008D000000}"/>
    <cellStyle name="Dezimal [0]_laroux" xfId="139" xr:uid="{00000000-0005-0000-0000-00008E000000}"/>
    <cellStyle name="Dezimal_laroux" xfId="140" xr:uid="{00000000-0005-0000-0000-00008F000000}"/>
    <cellStyle name="Dollar (zero dec)" xfId="141" xr:uid="{00000000-0005-0000-0000-000090000000}"/>
    <cellStyle name="Entered" xfId="142" xr:uid="{00000000-0005-0000-0000-000091000000}"/>
    <cellStyle name="entry" xfId="143" xr:uid="{00000000-0005-0000-0000-000092000000}"/>
    <cellStyle name="Euro" xfId="144" xr:uid="{00000000-0005-0000-0000-000093000000}"/>
    <cellStyle name="Expense欄" xfId="145" xr:uid="{00000000-0005-0000-0000-000094000000}"/>
    <cellStyle name="Explanatory Text" xfId="146" xr:uid="{00000000-0005-0000-0000-000095000000}"/>
    <cellStyle name="Fixed" xfId="147" xr:uid="{00000000-0005-0000-0000-000096000000}"/>
    <cellStyle name="Followed Hyperlink" xfId="148" xr:uid="{00000000-0005-0000-0000-000097000000}"/>
    <cellStyle name="Good" xfId="149" xr:uid="{00000000-0005-0000-0000-000098000000}"/>
    <cellStyle name="Grey" xfId="150" xr:uid="{00000000-0005-0000-0000-000099000000}"/>
    <cellStyle name="HEADER" xfId="151" xr:uid="{00000000-0005-0000-0000-00009A000000}"/>
    <cellStyle name="Header1" xfId="152" xr:uid="{00000000-0005-0000-0000-00009B000000}"/>
    <cellStyle name="Header2" xfId="153" xr:uid="{00000000-0005-0000-0000-00009C000000}"/>
    <cellStyle name="Heading 1" xfId="154" xr:uid="{00000000-0005-0000-0000-00009D000000}"/>
    <cellStyle name="Heading 2" xfId="155" xr:uid="{00000000-0005-0000-0000-00009E000000}"/>
    <cellStyle name="Heading 3" xfId="156" xr:uid="{00000000-0005-0000-0000-00009F000000}"/>
    <cellStyle name="Heading 4" xfId="157" xr:uid="{00000000-0005-0000-0000-0000A0000000}"/>
    <cellStyle name="heading, 1,A MAJOR/BOLD" xfId="158" xr:uid="{00000000-0005-0000-0000-0000A1000000}"/>
    <cellStyle name="HEADING1" xfId="159" xr:uid="{00000000-0005-0000-0000-0000A2000000}"/>
    <cellStyle name="HEADING2" xfId="160" xr:uid="{00000000-0005-0000-0000-0000A3000000}"/>
    <cellStyle name="Hyperlink" xfId="3" xr:uid="{00000000-0005-0000-0000-000006000000}"/>
    <cellStyle name="Hyperlink 2" xfId="319" xr:uid="{00000000-0005-0000-0000-000042010000}"/>
    <cellStyle name="Input" xfId="161" xr:uid="{00000000-0005-0000-0000-0000A4000000}"/>
    <cellStyle name="Input [yellow]" xfId="162" xr:uid="{00000000-0005-0000-0000-0000A5000000}"/>
    <cellStyle name="Input_U-2 License製品別売上データ" xfId="163" xr:uid="{00000000-0005-0000-0000-0000A6000000}"/>
    <cellStyle name="JPY" xfId="164" xr:uid="{00000000-0005-0000-0000-0000A7000000}"/>
    <cellStyle name="Jun" xfId="165" xr:uid="{00000000-0005-0000-0000-0000A8000000}"/>
    <cellStyle name="Less than 5" xfId="166" xr:uid="{00000000-0005-0000-0000-0000A9000000}"/>
    <cellStyle name="LineItemPrompt" xfId="167" xr:uid="{00000000-0005-0000-0000-0000AA000000}"/>
    <cellStyle name="LineItemValue" xfId="168" xr:uid="{00000000-0005-0000-0000-0000AB000000}"/>
    <cellStyle name="Linked Cell" xfId="169" xr:uid="{00000000-0005-0000-0000-0000AC000000}"/>
    <cellStyle name="Millares [0]_PERSONAL" xfId="170" xr:uid="{00000000-0005-0000-0000-0000AD000000}"/>
    <cellStyle name="Millares_PERSONAL" xfId="171" xr:uid="{00000000-0005-0000-0000-0000AE000000}"/>
    <cellStyle name="Milliers [0]_2508" xfId="172" xr:uid="{00000000-0005-0000-0000-0000AF000000}"/>
    <cellStyle name="Milliers_11-97" xfId="173" xr:uid="{00000000-0005-0000-0000-0000B0000000}"/>
    <cellStyle name="Model" xfId="174" xr:uid="{00000000-0005-0000-0000-0000B1000000}"/>
    <cellStyle name="Mon‚taire" xfId="175" xr:uid="{00000000-0005-0000-0000-0000B2000000}"/>
    <cellStyle name="Moneda [0]_CONTENCION CONDELL 25.051" xfId="176" xr:uid="{00000000-0005-0000-0000-0000B3000000}"/>
    <cellStyle name="Moneda_CONTENCION CONDELL 25.051" xfId="177" xr:uid="{00000000-0005-0000-0000-0000B4000000}"/>
    <cellStyle name="Monétaire [0]_2508" xfId="178" xr:uid="{00000000-0005-0000-0000-0000B5000000}"/>
    <cellStyle name="Monétaire_11-97" xfId="179" xr:uid="{00000000-0005-0000-0000-0000B6000000}"/>
    <cellStyle name="Neutral" xfId="181" xr:uid="{00000000-0005-0000-0000-0000B8000000}"/>
    <cellStyle name="new" xfId="182" xr:uid="{00000000-0005-0000-0000-0000B9000000}"/>
    <cellStyle name="no dec" xfId="183" xr:uid="{00000000-0005-0000-0000-0000BA000000}"/>
    <cellStyle name="NoComma" xfId="184" xr:uid="{00000000-0005-0000-0000-0000BB000000}"/>
    <cellStyle name="Non d‚fini" xfId="185" xr:uid="{00000000-0005-0000-0000-0000BC000000}"/>
    <cellStyle name="Normal - Style1" xfId="186" xr:uid="{00000000-0005-0000-0000-0000BD000000}"/>
    <cellStyle name="Normal 15" xfId="320" xr:uid="{00000000-0005-0000-0000-000043010000}"/>
    <cellStyle name="Normal 2" xfId="321" xr:uid="{00000000-0005-0000-0000-000044010000}"/>
    <cellStyle name="Normal 2 2" xfId="322" xr:uid="{00000000-0005-0000-0000-000045010000}"/>
    <cellStyle name="Normal 2 3" xfId="323" xr:uid="{00000000-0005-0000-0000-000046010000}"/>
    <cellStyle name="Normal 2 3 2" xfId="324" xr:uid="{00000000-0005-0000-0000-000047010000}"/>
    <cellStyle name="Normal 2 39" xfId="325" xr:uid="{00000000-0005-0000-0000-000048010000}"/>
    <cellStyle name="Normal 2 4" xfId="326" xr:uid="{00000000-0005-0000-0000-000049010000}"/>
    <cellStyle name="Normal 2 4 2" xfId="327" xr:uid="{00000000-0005-0000-0000-00004A010000}"/>
    <cellStyle name="Normal 2 5" xfId="328" xr:uid="{00000000-0005-0000-0000-00004B010000}"/>
    <cellStyle name="Normal 2_Sun SCOA Change Template" xfId="329" xr:uid="{00000000-0005-0000-0000-00004C010000}"/>
    <cellStyle name="Normal 3" xfId="330" xr:uid="{00000000-0005-0000-0000-00004D010000}"/>
    <cellStyle name="Normal 39" xfId="331" xr:uid="{00000000-0005-0000-0000-00004E010000}"/>
    <cellStyle name="Normal 39 2" xfId="332" xr:uid="{00000000-0005-0000-0000-00004F010000}"/>
    <cellStyle name="Normal 4" xfId="333" xr:uid="{00000000-0005-0000-0000-000050010000}"/>
    <cellStyle name="Normal 4 2" xfId="334" xr:uid="{00000000-0005-0000-0000-000051010000}"/>
    <cellStyle name="Normal 4 2 20" xfId="335" xr:uid="{00000000-0005-0000-0000-000052010000}"/>
    <cellStyle name="Normal 6" xfId="336" xr:uid="{00000000-0005-0000-0000-000053010000}"/>
    <cellStyle name="Normal 8 9" xfId="337" xr:uid="{00000000-0005-0000-0000-000054010000}"/>
    <cellStyle name="Normal1" xfId="187" xr:uid="{00000000-0005-0000-0000-0000BE000000}"/>
    <cellStyle name="Normal2" xfId="188" xr:uid="{00000000-0005-0000-0000-0000BF000000}"/>
    <cellStyle name="Normal3" xfId="189" xr:uid="{00000000-0005-0000-0000-0000C0000000}"/>
    <cellStyle name="Normal4" xfId="190" xr:uid="{00000000-0005-0000-0000-0000C1000000}"/>
    <cellStyle name="Normale_FS1.XLS" xfId="191" xr:uid="{00000000-0005-0000-0000-0000C2000000}"/>
    <cellStyle name="Note" xfId="192" xr:uid="{00000000-0005-0000-0000-0000C3000000}"/>
    <cellStyle name="Output" xfId="193" xr:uid="{00000000-0005-0000-0000-0000C4000000}"/>
    <cellStyle name="Output Amounts" xfId="194" xr:uid="{00000000-0005-0000-0000-0000C5000000}"/>
    <cellStyle name="Output Column Headings" xfId="195" xr:uid="{00000000-0005-0000-0000-0000C6000000}"/>
    <cellStyle name="Output Line Items" xfId="196" xr:uid="{00000000-0005-0000-0000-0000C7000000}"/>
    <cellStyle name="Output Report Heading" xfId="197" xr:uid="{00000000-0005-0000-0000-0000C8000000}"/>
    <cellStyle name="Output Report Title" xfId="198" xr:uid="{00000000-0005-0000-0000-0000C9000000}"/>
    <cellStyle name="Output_U-2 License製品別売上データ" xfId="199" xr:uid="{00000000-0005-0000-0000-0000CA000000}"/>
    <cellStyle name="OUTPUTNORMAL" xfId="200" xr:uid="{00000000-0005-0000-0000-0000CB000000}"/>
    <cellStyle name="Percent [2]" xfId="201" xr:uid="{00000000-0005-0000-0000-0000CC000000}"/>
    <cellStyle name="Percent[0]" xfId="202" xr:uid="{00000000-0005-0000-0000-0000CD000000}"/>
    <cellStyle name="Percent[2]" xfId="203" xr:uid="{00000000-0005-0000-0000-0000CE000000}"/>
    <cellStyle name="Pourcentage_D" xfId="204" xr:uid="{00000000-0005-0000-0000-0000CF000000}"/>
    <cellStyle name="price" xfId="205" xr:uid="{00000000-0005-0000-0000-0000D0000000}"/>
    <cellStyle name="PSChar" xfId="206" xr:uid="{00000000-0005-0000-0000-0000D1000000}"/>
    <cellStyle name="PSDate" xfId="207" xr:uid="{00000000-0005-0000-0000-0000D2000000}"/>
    <cellStyle name="PSDec" xfId="208" xr:uid="{00000000-0005-0000-0000-0000D3000000}"/>
    <cellStyle name="PSDetail2" xfId="209" xr:uid="{00000000-0005-0000-0000-0000D4000000}"/>
    <cellStyle name="PSHeading" xfId="210" xr:uid="{00000000-0005-0000-0000-0000D5000000}"/>
    <cellStyle name="PSInt" xfId="211" xr:uid="{00000000-0005-0000-0000-0000D6000000}"/>
    <cellStyle name="PSSpacer" xfId="212" xr:uid="{00000000-0005-0000-0000-0000D7000000}"/>
    <cellStyle name="qbh_x0003__x000c_bh_x0017_&quot;blTT０_x0008__x0003__x0008_?)(일)" xfId="213" xr:uid="{00000000-0005-0000-0000-0000D8000000}"/>
    <cellStyle name="qbh_x0003__x000c_bh_x0017_&quot;blTT０_x0008__x0003__x0008_磚)(일)" xfId="214" xr:uid="{00000000-0005-0000-0000-0000D9000000}"/>
    <cellStyle name="ReportTitlePrompt" xfId="215" xr:uid="{00000000-0005-0000-0000-0000DA000000}"/>
    <cellStyle name="ReportTitleValue" xfId="216" xr:uid="{00000000-0005-0000-0000-0000DB000000}"/>
    <cellStyle name="revised" xfId="217" xr:uid="{00000000-0005-0000-0000-0000DC000000}"/>
    <cellStyle name="RevList" xfId="218" xr:uid="{00000000-0005-0000-0000-0000DD000000}"/>
    <cellStyle name="RowAcctAbovePrompt" xfId="219" xr:uid="{00000000-0005-0000-0000-0000DE000000}"/>
    <cellStyle name="RowAcctSOBAbovePrompt" xfId="220" xr:uid="{00000000-0005-0000-0000-0000DF000000}"/>
    <cellStyle name="RowAcctSOBValue" xfId="221" xr:uid="{00000000-0005-0000-0000-0000E0000000}"/>
    <cellStyle name="RowAcctValue" xfId="222" xr:uid="{00000000-0005-0000-0000-0000E1000000}"/>
    <cellStyle name="RowAttrAbovePrompt" xfId="223" xr:uid="{00000000-0005-0000-0000-0000E2000000}"/>
    <cellStyle name="RowAttrValue" xfId="224" xr:uid="{00000000-0005-0000-0000-0000E3000000}"/>
    <cellStyle name="RowColSetAbovePrompt" xfId="225" xr:uid="{00000000-0005-0000-0000-0000E4000000}"/>
    <cellStyle name="RowColSetLeftPrompt" xfId="226" xr:uid="{00000000-0005-0000-0000-0000E5000000}"/>
    <cellStyle name="RowColSetValue" xfId="227" xr:uid="{00000000-0005-0000-0000-0000E6000000}"/>
    <cellStyle name="RowLeftPrompt" xfId="228" xr:uid="{00000000-0005-0000-0000-0000E7000000}"/>
    <cellStyle name="SampleUsingFormatMask" xfId="229" xr:uid="{00000000-0005-0000-0000-0000E8000000}"/>
    <cellStyle name="SampleWithNoFormatMask" xfId="230" xr:uid="{00000000-0005-0000-0000-0000E9000000}"/>
    <cellStyle name="section" xfId="231" xr:uid="{00000000-0005-0000-0000-0000EA000000}"/>
    <cellStyle name="SolReverse" xfId="232" xr:uid="{00000000-0005-0000-0000-0000EB000000}"/>
    <cellStyle name="Standard_ADDSHARE" xfId="233" xr:uid="{00000000-0005-0000-0000-0000EC000000}"/>
    <cellStyle name="Style1 - Style1" xfId="234" xr:uid="{00000000-0005-0000-0000-0000ED000000}"/>
    <cellStyle name="Style2 - Style2" xfId="235" xr:uid="{00000000-0005-0000-0000-0000EE000000}"/>
    <cellStyle name="Style3 - Style3" xfId="236" xr:uid="{00000000-0005-0000-0000-0000EF000000}"/>
    <cellStyle name="Style4 - Style4" xfId="237" xr:uid="{00000000-0005-0000-0000-0000F0000000}"/>
    <cellStyle name="subhead" xfId="238" xr:uid="{00000000-0005-0000-0000-0000F1000000}"/>
    <cellStyle name="Subtotal" xfId="239" xr:uid="{00000000-0005-0000-0000-0000F2000000}"/>
    <cellStyle name="T０_x0008__x0003__x0008_?)(일)" xfId="240" xr:uid="{00000000-0005-0000-0000-0000F3000000}"/>
    <cellStyle name="T０_x0008__x0003__x0008_磚)(일)" xfId="241" xr:uid="{00000000-0005-0000-0000-0000F4000000}"/>
    <cellStyle name="Time欄" xfId="242" xr:uid="{00000000-0005-0000-0000-0000F5000000}"/>
    <cellStyle name="title" xfId="243" xr:uid="{00000000-0005-0000-0000-0000F6000000}"/>
    <cellStyle name="Total" xfId="244" xr:uid="{00000000-0005-0000-0000-0000F7000000}"/>
    <cellStyle name="Unprotect" xfId="245" xr:uid="{00000000-0005-0000-0000-0000F8000000}"/>
    <cellStyle name="UploadThisRowValue" xfId="246" xr:uid="{00000000-0005-0000-0000-0000F9000000}"/>
    <cellStyle name="W?rung [0]_laroux" xfId="247" xr:uid="{00000000-0005-0000-0000-0000FA000000}"/>
    <cellStyle name="W?rung_laroux" xfId="248" xr:uid="{00000000-0005-0000-0000-0000FB000000}"/>
    <cellStyle name="Warning Text" xfId="249" xr:uid="{00000000-0005-0000-0000-0000FC000000}"/>
    <cellStyle name="スタイル 1" xfId="250" xr:uid="{00000000-0005-0000-0000-0000FD000000}"/>
    <cellStyle name="スタイル 2" xfId="251" xr:uid="{00000000-0005-0000-0000-0000FE000000}"/>
    <cellStyle name="スタイル 3" xfId="252" xr:uid="{00000000-0005-0000-0000-0000FF000000}"/>
    <cellStyle name="スタイル 4" xfId="253" xr:uid="{00000000-0005-0000-0000-000000010000}"/>
    <cellStyle name="スタイル 5" xfId="254" xr:uid="{00000000-0005-0000-0000-000001010000}"/>
    <cellStyle name="スタイル 6" xfId="255" xr:uid="{00000000-0005-0000-0000-000002010000}"/>
    <cellStyle name="スタイル 7" xfId="256" xr:uid="{00000000-0005-0000-0000-000003010000}"/>
    <cellStyle name="センター" xfId="257" xr:uid="{00000000-0005-0000-0000-000004010000}"/>
    <cellStyle name="パーセント" xfId="1" builtinId="5"/>
    <cellStyle name="パーセント 2" xfId="311" xr:uid="{00000000-0005-0000-0000-00003A010000}"/>
    <cellStyle name="고정소숫점" xfId="259" xr:uid="{00000000-0005-0000-0000-000006010000}"/>
    <cellStyle name="고정출력1" xfId="260" xr:uid="{00000000-0005-0000-0000-000007010000}"/>
    <cellStyle name="고정출력2" xfId="261" xr:uid="{00000000-0005-0000-0000-000008010000}"/>
    <cellStyle name="금액" xfId="263" xr:uid="{00000000-0005-0000-0000-00000A010000}"/>
    <cellStyle name="一般_0011" xfId="258" xr:uid="{00000000-0005-0000-0000-000005010000}"/>
    <cellStyle name="날짜" xfId="265" xr:uid="{00000000-0005-0000-0000-00000C010000}"/>
    <cellStyle name="내양식" xfId="266" xr:uid="{00000000-0005-0000-0000-00000D010000}"/>
    <cellStyle name="내표준" xfId="267" xr:uid="{00000000-0005-0000-0000-00000E010000}"/>
    <cellStyle name="外 貨  借 入" xfId="262" xr:uid="{00000000-0005-0000-0000-000009010000}"/>
    <cellStyle name="桁区切り" xfId="2" builtinId="6"/>
    <cellStyle name="桁区切り [0.000]" xfId="264" xr:uid="{00000000-0005-0000-0000-00000B010000}"/>
    <cellStyle name="桁区切り 2" xfId="310" xr:uid="{00000000-0005-0000-0000-000039010000}"/>
    <cellStyle name="桁区切り 3" xfId="313" xr:uid="{00000000-0005-0000-0000-00003C010000}"/>
    <cellStyle name="桁区切り 4" xfId="315" xr:uid="{00000000-0005-0000-0000-00003E010000}"/>
    <cellStyle name="桁区切り 5" xfId="339" xr:uid="{00000000-0005-0000-0000-000056010000}"/>
    <cellStyle name="달러" xfId="269" xr:uid="{00000000-0005-0000-0000-000010010000}"/>
    <cellStyle name="뒤에 오는 하이퍼링크_09고정자산명세서" xfId="271" xr:uid="{00000000-0005-0000-0000-000012010000}"/>
    <cellStyle name="똿떓죶Ø괻 [0.00]_PRODUCT DETAIL Q1" xfId="272" xr:uid="{00000000-0005-0000-0000-000013010000}"/>
    <cellStyle name="똿떓죶Ø괻_PRODUCT DETAIL Q1" xfId="273" xr:uid="{00000000-0005-0000-0000-000014010000}"/>
    <cellStyle name="똿뗦먛귟 [0.00]_PRODUCT DETAIL Q1" xfId="274" xr:uid="{00000000-0005-0000-0000-000015010000}"/>
    <cellStyle name="똿뗦먛귟_PRODUCT DETAIL Q1" xfId="275" xr:uid="{00000000-0005-0000-0000-000016010000}"/>
    <cellStyle name="千分位_Sheet1" xfId="268" xr:uid="{00000000-0005-0000-0000-00000F010000}"/>
    <cellStyle name="通貨 2" xfId="270" xr:uid="{00000000-0005-0000-0000-000011010000}"/>
    <cellStyle name="標準" xfId="0" builtinId="0"/>
    <cellStyle name="標準 2" xfId="309" xr:uid="{00000000-0005-0000-0000-000038010000}"/>
    <cellStyle name="標準 3" xfId="312" xr:uid="{00000000-0005-0000-0000-00003B010000}"/>
    <cellStyle name="標準 4" xfId="314" xr:uid="{00000000-0005-0000-0000-00003D010000}"/>
    <cellStyle name="標準 5" xfId="316" xr:uid="{00000000-0005-0000-0000-00003F010000}"/>
    <cellStyle name="標準 6" xfId="338" xr:uid="{00000000-0005-0000-0000-000055010000}"/>
    <cellStyle name="未定義" xfId="276" xr:uid="{00000000-0005-0000-0000-000017010000}"/>
    <cellStyle name="묮뎋 [0.00]_PRODUCT DETAIL Q1" xfId="288" xr:uid="{00000000-0005-0000-0000-000023010000}"/>
    <cellStyle name="묮뎋_PRODUCT DETAIL Q1" xfId="289" xr:uid="{00000000-0005-0000-0000-000024010000}"/>
    <cellStyle name="믅됞 [0.00]_PRODUCT DETAIL Q1" xfId="290" xr:uid="{00000000-0005-0000-0000-000025010000}"/>
    <cellStyle name="믅됞_PRODUCT DETAIL Q1" xfId="291" xr:uid="{00000000-0005-0000-0000-000026010000}"/>
    <cellStyle name="咬訌裝?INCOM1" xfId="277" xr:uid="{00000000-0005-0000-0000-000018010000}"/>
    <cellStyle name="咬訌裝?INCOM10" xfId="278" xr:uid="{00000000-0005-0000-0000-000019010000}"/>
    <cellStyle name="咬訌裝?INCOM2" xfId="279" xr:uid="{00000000-0005-0000-0000-00001A010000}"/>
    <cellStyle name="咬訌裝?INCOM3" xfId="280" xr:uid="{00000000-0005-0000-0000-00001B010000}"/>
    <cellStyle name="咬訌裝?INCOM4" xfId="281" xr:uid="{00000000-0005-0000-0000-00001C010000}"/>
    <cellStyle name="咬訌裝?INCOM5" xfId="282" xr:uid="{00000000-0005-0000-0000-00001D010000}"/>
    <cellStyle name="咬訌裝?INCOM6" xfId="283" xr:uid="{00000000-0005-0000-0000-00001E010000}"/>
    <cellStyle name="咬訌裝?INCOM7" xfId="284" xr:uid="{00000000-0005-0000-0000-00001F010000}"/>
    <cellStyle name="咬訌裝?INCOM8" xfId="285" xr:uid="{00000000-0005-0000-0000-000020010000}"/>
    <cellStyle name="咬訌裝?INCOM9" xfId="286" xr:uid="{00000000-0005-0000-0000-000021010000}"/>
    <cellStyle name="咬訌裝?PRIB11" xfId="287" xr:uid="{00000000-0005-0000-0000-000022010000}"/>
    <cellStyle name="뷭?_BOOKSHIP" xfId="292" xr:uid="{00000000-0005-0000-0000-000027010000}"/>
    <cellStyle name="숫자(R)" xfId="293" xr:uid="{00000000-0005-0000-0000-000028010000}"/>
    <cellStyle name="안건회계법인" xfId="294" xr:uid="{00000000-0005-0000-0000-000029010000}"/>
    <cellStyle name="자리수" xfId="295" xr:uid="{00000000-0005-0000-0000-00002A010000}"/>
    <cellStyle name="자리수0" xfId="296" xr:uid="{00000000-0005-0000-0000-00002B010000}"/>
    <cellStyle name="지정되지 않음" xfId="298" xr:uid="{00000000-0005-0000-0000-00002D010000}"/>
    <cellStyle name="콤마 [0]_  종  합  " xfId="299" xr:uid="{00000000-0005-0000-0000-00002E010000}"/>
    <cellStyle name="콤마_  종  합  " xfId="300" xr:uid="{00000000-0005-0000-0000-00002F010000}"/>
    <cellStyle name="팒" xfId="301" xr:uid="{00000000-0005-0000-0000-000030010000}"/>
    <cellStyle name="퍼센트" xfId="302" xr:uid="{00000000-0005-0000-0000-000031010000}"/>
    <cellStyle name="표준_A-9" xfId="303" xr:uid="{00000000-0005-0000-0000-000032010000}"/>
    <cellStyle name="표준-이효주" xfId="304" xr:uid="{00000000-0005-0000-0000-000033010000}"/>
    <cellStyle name="표준체" xfId="305" xr:uid="{00000000-0005-0000-0000-000034010000}"/>
    <cellStyle name="합산" xfId="306" xr:uid="{00000000-0005-0000-0000-000035010000}"/>
    <cellStyle name="화폐기호" xfId="307" xr:uid="{00000000-0005-0000-0000-000036010000}"/>
    <cellStyle name="화폐기호0" xfId="308" xr:uid="{00000000-0005-0000-0000-00003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5.7750000000000003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5E-3"/>
                  <c:y val="-0.3295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B7-4A29-A64A-E8249B68B386}"/>
                </c:ext>
              </c:extLst>
            </c:dLbl>
            <c:dLbl>
              <c:idx val="1"/>
              <c:layout>
                <c:manualLayout>
                  <c:x val="4.7499999999999999E-3"/>
                  <c:y val="-0.347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B7-4A29-A64A-E8249B68B386}"/>
                </c:ext>
              </c:extLst>
            </c:dLbl>
            <c:dLbl>
              <c:idx val="2"/>
              <c:layout>
                <c:manualLayout>
                  <c:x val="8.2500000000000004E-3"/>
                  <c:y val="-0.3514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B7-4A29-A64A-E8249B68B386}"/>
                </c:ext>
              </c:extLst>
            </c:dLbl>
            <c:dLbl>
              <c:idx val="3"/>
              <c:layout>
                <c:manualLayout>
                  <c:x val="1.025E-2"/>
                  <c:y val="-0.3717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B7-4A29-A64A-E8249B68B386}"/>
                </c:ext>
              </c:extLst>
            </c:dLbl>
            <c:dLbl>
              <c:idx val="4"/>
              <c:layout>
                <c:manualLayout>
                  <c:x val="1.15E-2"/>
                  <c:y val="-0.39374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B7-4A29-A64A-E8249B68B386}"/>
                </c:ext>
              </c:extLst>
            </c:dLbl>
            <c:dLbl>
              <c:idx val="5"/>
              <c:layout>
                <c:manualLayout>
                  <c:x val="1.6750000000000001E-2"/>
                  <c:y val="-0.3222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B7-4A29-A64A-E8249B68B386}"/>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45778</c:v>
                </c:pt>
                <c:pt idx="1">
                  <c:v>45413</c:v>
                </c:pt>
                <c:pt idx="2">
                  <c:v>45047</c:v>
                </c:pt>
                <c:pt idx="3">
                  <c:v>44682</c:v>
                </c:pt>
                <c:pt idx="4">
                  <c:v>44317</c:v>
                </c:pt>
              </c:numCache>
            </c:numRef>
          </c:cat>
          <c:val>
            <c:numRef>
              <c:f>'3.Summary'!$M$5:$Q$5</c:f>
              <c:numCache>
                <c:formatCode>#,##0_);[Red]\(#,##0\)</c:formatCode>
                <c:ptCount val="5"/>
                <c:pt idx="0">
                  <c:v>263510</c:v>
                </c:pt>
                <c:pt idx="1">
                  <c:v>244542</c:v>
                </c:pt>
                <c:pt idx="2">
                  <c:v>226914</c:v>
                </c:pt>
                <c:pt idx="3">
                  <c:v>214691</c:v>
                </c:pt>
                <c:pt idx="4">
                  <c:v>208523</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273616829"/>
        <c:axId val="453280704"/>
        <c:axId val="0"/>
      </c:bar3DChart>
      <c:dateAx>
        <c:axId val="1273616829"/>
        <c:scaling>
          <c:orientation val="minMax"/>
          <c:max val="45778"/>
          <c:min val="4431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453280704"/>
        <c:crosses val="autoZero"/>
        <c:auto val="1"/>
        <c:lblOffset val="100"/>
        <c:baseTimeUnit val="years"/>
      </c:dateAx>
      <c:valAx>
        <c:axId val="453280704"/>
        <c:scaling>
          <c:orientation val="minMax"/>
          <c:max val="30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273616829"/>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9.4999999999999998E-3"/>
                  <c:y val="-0.3257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1E-4CAD-AB36-3F8A7AB6CAF5}"/>
                </c:ext>
              </c:extLst>
            </c:dLbl>
            <c:dLbl>
              <c:idx val="1"/>
              <c:layout>
                <c:manualLayout>
                  <c:x val="1.0500000000000001E-2"/>
                  <c:y val="-0.335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1E-4CAD-AB36-3F8A7AB6CAF5}"/>
                </c:ext>
              </c:extLst>
            </c:dLbl>
            <c:dLbl>
              <c:idx val="2"/>
              <c:layout>
                <c:manualLayout>
                  <c:x val="1.4749999999999999E-2"/>
                  <c:y val="-0.335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1E-4CAD-AB36-3F8A7AB6CAF5}"/>
                </c:ext>
              </c:extLst>
            </c:dLbl>
            <c:dLbl>
              <c:idx val="3"/>
              <c:layout>
                <c:manualLayout>
                  <c:x val="5.2500000000000003E-3"/>
                  <c:y val="-0.354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1E-4CAD-AB36-3F8A7AB6CAF5}"/>
                </c:ext>
              </c:extLst>
            </c:dLbl>
            <c:dLbl>
              <c:idx val="4"/>
              <c:layout>
                <c:manualLayout>
                  <c:x val="1.325E-2"/>
                  <c:y val="-0.378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1E-4CAD-AB36-3F8A7AB6CAF5}"/>
                </c:ext>
              </c:extLst>
            </c:dLbl>
            <c:dLbl>
              <c:idx val="5"/>
              <c:layout>
                <c:manualLayout>
                  <c:x val="2.0750000000000001E-2"/>
                  <c:y val="-0.252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1E-4CAD-AB36-3F8A7AB6CAF5}"/>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45778</c:v>
                </c:pt>
                <c:pt idx="1">
                  <c:v>45413</c:v>
                </c:pt>
                <c:pt idx="2">
                  <c:v>45047</c:v>
                </c:pt>
                <c:pt idx="3">
                  <c:v>44682</c:v>
                </c:pt>
                <c:pt idx="4">
                  <c:v>44317</c:v>
                </c:pt>
              </c:numCache>
            </c:numRef>
          </c:cat>
          <c:val>
            <c:numRef>
              <c:f>'3.Summary'!$M$12:$Q$12</c:f>
              <c:numCache>
                <c:formatCode>#,##0_);[Red]\(#,##0\)</c:formatCode>
                <c:ptCount val="5"/>
                <c:pt idx="0">
                  <c:v>60725</c:v>
                </c:pt>
                <c:pt idx="1">
                  <c:v>55603</c:v>
                </c:pt>
                <c:pt idx="2">
                  <c:v>52009</c:v>
                </c:pt>
                <c:pt idx="3">
                  <c:v>51182</c:v>
                </c:pt>
                <c:pt idx="4">
                  <c:v>49175</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944979405"/>
        <c:axId val="1885959862"/>
        <c:axId val="0"/>
      </c:bar3DChart>
      <c:dateAx>
        <c:axId val="1944979405"/>
        <c:scaling>
          <c:orientation val="minMax"/>
          <c:max val="45778"/>
          <c:min val="4431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885959862"/>
        <c:crosses val="autoZero"/>
        <c:auto val="1"/>
        <c:lblOffset val="100"/>
        <c:baseTimeUnit val="years"/>
        <c:majorUnit val="1"/>
        <c:majorTimeUnit val="years"/>
        <c:minorUnit val="1"/>
        <c:minorTimeUnit val="years"/>
      </c:dateAx>
      <c:valAx>
        <c:axId val="1885959862"/>
        <c:scaling>
          <c:orientation val="minMax"/>
          <c:max val="7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944979405"/>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97945</xdr:rowOff>
    </xdr:to>
    <xdr:sp macro="" textlink="">
      <xdr:nvSpPr>
        <xdr:cNvPr id="79885" name="Text Box 13">
          <a:extLst>
            <a:ext uri="{FF2B5EF4-FFF2-40B4-BE49-F238E27FC236}">
              <a16:creationId xmlns:a16="http://schemas.microsoft.com/office/drawing/2014/main" id="{B4C614E6-5BEE-4CD4-985D-CB2C20516284}"/>
            </a:ext>
          </a:extLst>
        </xdr:cNvPr>
        <xdr:cNvSpPr txBox="1">
          <a:spLocks noChangeArrowheads="1"/>
        </xdr:cNvSpPr>
      </xdr:nvSpPr>
      <xdr:spPr bwMode="auto">
        <a:xfrm>
          <a:off x="285750" y="5486400"/>
          <a:ext cx="10858500" cy="8572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DBB24207-69F0-4517-AF2D-592432F7469C}"/>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54342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28016</xdr:rowOff>
    </xdr:to>
    <xdr:sp macro="" textlink="">
      <xdr:nvSpPr>
        <xdr:cNvPr id="80056" name="Text Box 15">
          <a:extLst>
            <a:ext uri="{FF2B5EF4-FFF2-40B4-BE49-F238E27FC236}">
              <a16:creationId xmlns:a16="http://schemas.microsoft.com/office/drawing/2014/main" id="{E8C9BBD9-C1C4-43BF-BB55-D68AE39C543A}"/>
            </a:ext>
          </a:extLst>
        </xdr:cNvPr>
        <xdr:cNvSpPr txBox="1">
          <a:spLocks noChangeArrowheads="1"/>
        </xdr:cNvSpPr>
      </xdr:nvSpPr>
      <xdr:spPr bwMode="auto">
        <a:xfrm>
          <a:off x="285750" y="6572250"/>
          <a:ext cx="10858500" cy="1247775"/>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3</xdr:row>
      <xdr:rowOff>243366</xdr:rowOff>
    </xdr:to>
    <xdr:pic>
      <xdr:nvPicPr>
        <xdr:cNvPr id="17" name="図 16" descr="Oracle sees the future">
          <a:extLst>
            <a:ext uri="{FF2B5EF4-FFF2-40B4-BE49-F238E27FC236}">
              <a16:creationId xmlns:a16="http://schemas.microsoft.com/office/drawing/2014/main" id="{513D8EF8-8F33-4FA5-830B-A5EC6065F256}"/>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61950"/>
          <a:ext cx="50958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60E5BDCE-A8B7-4AA0-8421-A02CB6302B05}"/>
            </a:ext>
          </a:extLst>
        </xdr:cNvPr>
        <xdr:cNvSpPr/>
      </xdr:nvSpPr>
      <xdr:spPr bwMode="auto">
        <a:xfrm>
          <a:off x="2186940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31</xdr:row>
      <xdr:rowOff>237122</xdr:rowOff>
    </xdr:to>
    <xdr:sp macro="" textlink="">
      <xdr:nvSpPr>
        <xdr:cNvPr id="8227" name="Text Box 3">
          <a:extLst>
            <a:ext uri="{FF2B5EF4-FFF2-40B4-BE49-F238E27FC236}">
              <a16:creationId xmlns:a16="http://schemas.microsoft.com/office/drawing/2014/main" id="{16DCD8C4-5771-4399-A7EF-846079699400}"/>
            </a:ext>
          </a:extLst>
        </xdr:cNvPr>
        <xdr:cNvSpPr txBox="1">
          <a:spLocks noChangeArrowheads="1"/>
        </xdr:cNvSpPr>
      </xdr:nvSpPr>
      <xdr:spPr bwMode="auto">
        <a:xfrm>
          <a:off x="323850" y="7153275"/>
          <a:ext cx="14954250" cy="1162050"/>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48627</xdr:rowOff>
    </xdr:to>
    <xdr:sp macro="" textlink="">
      <xdr:nvSpPr>
        <xdr:cNvPr id="8228" name="Text Box 4">
          <a:extLst>
            <a:ext uri="{FF2B5EF4-FFF2-40B4-BE49-F238E27FC236}">
              <a16:creationId xmlns:a16="http://schemas.microsoft.com/office/drawing/2014/main" id="{1BCE7536-C692-4E38-B826-ABEC40D15E3A}"/>
            </a:ext>
          </a:extLst>
        </xdr:cNvPr>
        <xdr:cNvSpPr txBox="1">
          <a:spLocks noChangeArrowheads="1"/>
        </xdr:cNvSpPr>
      </xdr:nvSpPr>
      <xdr:spPr bwMode="auto">
        <a:xfrm>
          <a:off x="323850" y="8458200"/>
          <a:ext cx="14944725" cy="147637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199977</xdr:colOff>
      <xdr:row>4</xdr:row>
      <xdr:rowOff>10568</xdr:rowOff>
    </xdr:from>
    <xdr:to>
      <xdr:col>11</xdr:col>
      <xdr:colOff>438102</xdr:colOff>
      <xdr:row>13</xdr:row>
      <xdr:rowOff>228363</xdr:rowOff>
    </xdr:to>
    <xdr:graphicFrame macro="">
      <xdr:nvGraphicFramePr>
        <xdr:cNvPr id="8454" name="Chart 98">
          <a:extLst>
            <a:ext uri="{FF2B5EF4-FFF2-40B4-BE49-F238E27FC236}">
              <a16:creationId xmlns:a16="http://schemas.microsoft.com/office/drawing/2014/main" id="{D9EB50DF-BDDF-49F9-B42B-94774E3C9C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D45420D1-E319-4E91-86A2-7C36EE07FD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12</xdr:row>
      <xdr:rowOff>0</xdr:rowOff>
    </xdr:to>
    <xdr:sp macro="" textlink="" fLocksText="0">
      <xdr:nvSpPr>
        <xdr:cNvPr id="2" name="強調線吹き出し 1 (枠付き) 1">
          <a:extLst>
            <a:ext uri="{FF2B5EF4-FFF2-40B4-BE49-F238E27FC236}">
              <a16:creationId xmlns:a16="http://schemas.microsoft.com/office/drawing/2014/main" id="{07BD602D-9B19-4E6E-92AA-8DD69E7A5F7B}"/>
            </a:ext>
          </a:extLst>
        </xdr:cNvPr>
        <xdr:cNvSpPr/>
      </xdr:nvSpPr>
      <xdr:spPr bwMode="auto">
        <a:xfrm>
          <a:off x="21650325" y="1314450"/>
          <a:ext cx="0" cy="26670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196850</xdr:colOff>
      <xdr:row>4</xdr:row>
      <xdr:rowOff>228600</xdr:rowOff>
    </xdr:to>
    <xdr:sp macro="" textlink="">
      <xdr:nvSpPr>
        <xdr:cNvPr id="139457" name="Text Box 3">
          <a:extLst>
            <a:ext uri="{FF2B5EF4-FFF2-40B4-BE49-F238E27FC236}">
              <a16:creationId xmlns:a16="http://schemas.microsoft.com/office/drawing/2014/main" id="{FF6C3AA1-C7A1-4DF0-85A7-1A285A0CB471}"/>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196850</xdr:colOff>
      <xdr:row>4</xdr:row>
      <xdr:rowOff>228600</xdr:rowOff>
    </xdr:to>
    <xdr:sp macro="" textlink="">
      <xdr:nvSpPr>
        <xdr:cNvPr id="139458" name="Text Box 4">
          <a:extLst>
            <a:ext uri="{FF2B5EF4-FFF2-40B4-BE49-F238E27FC236}">
              <a16:creationId xmlns:a16="http://schemas.microsoft.com/office/drawing/2014/main" id="{0777E260-5E53-45FA-9597-F2D20A3310BE}"/>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59" name="Text Box 5">
          <a:extLst>
            <a:ext uri="{FF2B5EF4-FFF2-40B4-BE49-F238E27FC236}">
              <a16:creationId xmlns:a16="http://schemas.microsoft.com/office/drawing/2014/main" id="{58054EE7-A94F-47A9-81E1-C9A6F897D65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0" name="Text Box 6">
          <a:extLst>
            <a:ext uri="{FF2B5EF4-FFF2-40B4-BE49-F238E27FC236}">
              <a16:creationId xmlns:a16="http://schemas.microsoft.com/office/drawing/2014/main" id="{F2857B32-BFCC-4765-8845-2B5723BBE78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1" name="Text Box 7">
          <a:extLst>
            <a:ext uri="{FF2B5EF4-FFF2-40B4-BE49-F238E27FC236}">
              <a16:creationId xmlns:a16="http://schemas.microsoft.com/office/drawing/2014/main" id="{6D764D11-171E-49B0-8228-EA4EC5BF97B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2" name="Text Box 8">
          <a:extLst>
            <a:ext uri="{FF2B5EF4-FFF2-40B4-BE49-F238E27FC236}">
              <a16:creationId xmlns:a16="http://schemas.microsoft.com/office/drawing/2014/main" id="{2DE6B1C6-7DC8-4143-8D35-44332C57057F}"/>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3" name="Text Box 9">
          <a:extLst>
            <a:ext uri="{FF2B5EF4-FFF2-40B4-BE49-F238E27FC236}">
              <a16:creationId xmlns:a16="http://schemas.microsoft.com/office/drawing/2014/main" id="{F0E538AB-9EA2-4318-937D-94E2AEEB9C99}"/>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4" name="Text Box 10">
          <a:extLst>
            <a:ext uri="{FF2B5EF4-FFF2-40B4-BE49-F238E27FC236}">
              <a16:creationId xmlns:a16="http://schemas.microsoft.com/office/drawing/2014/main" id="{326D7088-E059-454E-8C1E-AFD60E3FA517}"/>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5" name="Text Box 11">
          <a:extLst>
            <a:ext uri="{FF2B5EF4-FFF2-40B4-BE49-F238E27FC236}">
              <a16:creationId xmlns:a16="http://schemas.microsoft.com/office/drawing/2014/main" id="{2FE6FD8C-EEF9-430A-9DAF-301DB833277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6" name="Text Box 12">
          <a:extLst>
            <a:ext uri="{FF2B5EF4-FFF2-40B4-BE49-F238E27FC236}">
              <a16:creationId xmlns:a16="http://schemas.microsoft.com/office/drawing/2014/main" id="{A6D4A467-4CF9-4971-83DF-13AF0946676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181811</xdr:rowOff>
    </xdr:to>
    <xdr:grpSp>
      <xdr:nvGrpSpPr>
        <xdr:cNvPr id="13" name="グループ化 2">
          <a:extLst>
            <a:ext uri="{FF2B5EF4-FFF2-40B4-BE49-F238E27FC236}">
              <a16:creationId xmlns:a16="http://schemas.microsoft.com/office/drawing/2014/main" id="{55771A6D-6F5E-4D4C-BBB9-F92863299E09}"/>
            </a:ext>
          </a:extLst>
        </xdr:cNvPr>
        <xdr:cNvGrpSpPr>
          <a:grpSpLocks/>
        </xdr:cNvGrpSpPr>
      </xdr:nvGrpSpPr>
      <xdr:grpSpPr>
        <a:xfrm>
          <a:off x="666750" y="882369"/>
          <a:ext cx="7904480" cy="4315942"/>
          <a:chOff x="561801" y="438343"/>
          <a:chExt cx="7525573" cy="4146755"/>
        </a:xfrm>
      </xdr:grpSpPr>
      <xdr:grpSp>
        <xdr:nvGrpSpPr>
          <xdr:cNvPr id="14" name="グループ化 27">
            <a:extLst>
              <a:ext uri="{FF2B5EF4-FFF2-40B4-BE49-F238E27FC236}">
                <a16:creationId xmlns:a16="http://schemas.microsoft.com/office/drawing/2014/main" id="{76A29A81-DD56-48E8-AEBC-B4E5193B1DB3}"/>
              </a:ext>
            </a:extLst>
          </xdr:cNvPr>
          <xdr:cNvGrpSpPr>
            <a:grpSpLocks/>
          </xdr:cNvGrpSpPr>
        </xdr:nvGrpSpPr>
        <xdr:grpSpPr>
          <a:xfrm>
            <a:off x="561801" y="438343"/>
            <a:ext cx="7525573" cy="4146755"/>
            <a:chOff x="512641" y="438343"/>
            <a:chExt cx="7525573" cy="4146755"/>
          </a:xfrm>
        </xdr:grpSpPr>
        <xdr:sp macro="" textlink="" fLocksText="0">
          <xdr:nvSpPr>
            <xdr:cNvPr id="17" name="正方形/長方形 4">
              <a:extLst>
                <a:ext uri="{FF2B5EF4-FFF2-40B4-BE49-F238E27FC236}">
                  <a16:creationId xmlns:a16="http://schemas.microsoft.com/office/drawing/2014/main" id="{140363DE-5FD0-4CE5-ADAC-90928B256E31}"/>
                </a:ext>
              </a:extLst>
            </xdr:cNvPr>
            <xdr:cNvSpPr/>
          </xdr:nvSpPr>
          <xdr:spPr bwMode="auto">
            <a:xfrm>
              <a:off x="1552527" y="1891843"/>
              <a:ext cx="768972" cy="2101120"/>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EE02A23D-44D4-447A-93A5-873D33AE60F4}"/>
                </a:ext>
              </a:extLst>
            </xdr:cNvPr>
            <xdr:cNvSpPr/>
          </xdr:nvSpPr>
          <xdr:spPr bwMode="auto">
            <a:xfrm>
              <a:off x="6438204" y="1606143"/>
              <a:ext cx="796641" cy="237583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D52767B6-ACA7-4E35-BFC8-FAC31C025A03}"/>
                </a:ext>
              </a:extLst>
            </xdr:cNvPr>
            <xdr:cNvSpPr txBox="1"/>
          </xdr:nvSpPr>
          <xdr:spPr>
            <a:xfrm>
              <a:off x="1114850" y="4008562"/>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FY25Q3
9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81F3584-C0D5-4CF1-A466-AD6929FFA0EA}"/>
                </a:ext>
              </a:extLst>
            </xdr:cNvPr>
            <xdr:cNvSpPr txBox="1"/>
          </xdr:nvSpPr>
          <xdr:spPr>
            <a:xfrm>
              <a:off x="5960043" y="4015819"/>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FY26Q3</a:t>
              </a:r>
            </a:p>
            <a:p>
              <a:pPr>
                <a:lnSpc>
                  <a:spcPct val="70000"/>
                </a:lnSpc>
                <a:spcBef>
                  <a:spcPct val="0"/>
                </a:spcBef>
              </a:pPr>
              <a:r>
                <a:rPr lang="en-US" altLang="ja-JP" b="1">
                  <a:latin typeface="Meiryo UI" pitchFamily="50" charset="-128"/>
                  <a:ea typeface="Meiryo UI" pitchFamily="50" charset="-128"/>
                  <a:cs typeface="Meiryo UI" pitchFamily="50" charset="-128"/>
                </a:rPr>
                <a:t>9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8BC7505B-1A2E-4313-ADC1-350A0A20CF7A}"/>
                </a:ext>
              </a:extLst>
            </xdr:cNvPr>
            <xdr:cNvSpPr txBox="1"/>
          </xdr:nvSpPr>
          <xdr:spPr>
            <a:xfrm>
              <a:off x="1301254" y="1462979"/>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192,892</a:t>
              </a:r>
            </a:p>
          </xdr:txBody>
        </xdr:sp>
        <xdr:sp macro="" textlink="" fLocksText="0">
          <xdr:nvSpPr>
            <xdr:cNvPr id="23" name="正方形/長方形 10">
              <a:extLst>
                <a:ext uri="{FF2B5EF4-FFF2-40B4-BE49-F238E27FC236}">
                  <a16:creationId xmlns:a16="http://schemas.microsoft.com/office/drawing/2014/main" id="{BF7CE9BA-71F6-4AC6-BC39-9BE0AF2F4DAD}"/>
                </a:ext>
              </a:extLst>
            </xdr:cNvPr>
            <xdr:cNvSpPr/>
          </xdr:nvSpPr>
          <xdr:spPr bwMode="auto">
            <a:xfrm>
              <a:off x="2712386" y="1653288"/>
              <a:ext cx="930018" cy="21706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27A46EDB-3B13-4919-BFBD-14C0562A6409}"/>
                </a:ext>
              </a:extLst>
            </xdr:cNvPr>
            <xdr:cNvSpPr/>
          </xdr:nvSpPr>
          <xdr:spPr bwMode="auto">
            <a:xfrm flipV="1">
              <a:off x="3969531" y="1645294"/>
              <a:ext cx="929522" cy="6919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EE5DC034-85CD-4173-89F4-F70B1C7FFDAA}"/>
                </a:ext>
              </a:extLst>
            </xdr:cNvPr>
            <xdr:cNvSpPr txBox="1"/>
          </xdr:nvSpPr>
          <xdr:spPr>
            <a:xfrm>
              <a:off x="5109738" y="1172654"/>
              <a:ext cx="10627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+653</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(+3.5%)</a:t>
              </a:r>
            </a:p>
          </xdr:txBody>
        </xdr:sp>
        <xdr:sp macro="" textlink="">
          <xdr:nvSpPr>
            <xdr:cNvPr id="26" name="テキスト ボックス 17">
              <a:extLst>
                <a:ext uri="{FF2B5EF4-FFF2-40B4-BE49-F238E27FC236}">
                  <a16:creationId xmlns:a16="http://schemas.microsoft.com/office/drawing/2014/main" id="{5CCA9C2C-E4A2-4705-A856-2C92715796B8}"/>
                </a:ext>
              </a:extLst>
            </xdr:cNvPr>
            <xdr:cNvSpPr txBox="1"/>
          </xdr:nvSpPr>
          <xdr:spPr>
            <a:xfrm>
              <a:off x="2646370" y="1227819"/>
              <a:ext cx="1091614"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+14,271</a:t>
              </a:r>
            </a:p>
            <a:p>
              <a:pPr>
                <a:lnSpc>
                  <a:spcPct val="60000"/>
                </a:lnSpc>
                <a:spcBef>
                  <a:spcPct val="0"/>
                </a:spcBef>
              </a:pPr>
              <a:r>
                <a:rPr lang="en-US" altLang="ja-JP" sz="1400" b="0">
                  <a:latin typeface="Meiryo UI" pitchFamily="50" charset="-128"/>
                  <a:ea typeface="Meiryo UI" pitchFamily="50" charset="-128"/>
                  <a:cs typeface="Meiryo UI" pitchFamily="50" charset="-128"/>
                </a:rPr>
                <a:t>(+8.8%)</a:t>
              </a:r>
            </a:p>
          </xdr:txBody>
        </xdr:sp>
        <xdr:sp macro="" textlink="" fLocksText="0">
          <xdr:nvSpPr>
            <xdr:cNvPr id="27" name="フローチャート : せん孔テープ 22">
              <a:extLst>
                <a:ext uri="{FF2B5EF4-FFF2-40B4-BE49-F238E27FC236}">
                  <a16:creationId xmlns:a16="http://schemas.microsoft.com/office/drawing/2014/main" id="{0486BF94-E8AA-4664-968B-7B519FCF6015}"/>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551853C2-2CF2-478B-83E1-8B926FDBAC04}"/>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2FF5496D-E84D-4046-BAE5-67B729C22173}"/>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+13,778</a:t>
              </a:r>
              <a:r>
                <a:rPr lang="ja-JP" altLang="en-US" baseline="0">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(+7.1%)</a:t>
              </a:r>
            </a:p>
          </xdr:txBody>
        </xdr:sp>
        <xdr:sp macro="" textlink="">
          <xdr:nvSpPr>
            <xdr:cNvPr id="30" name="テキスト ボックス 25">
              <a:extLst>
                <a:ext uri="{FF2B5EF4-FFF2-40B4-BE49-F238E27FC236}">
                  <a16:creationId xmlns:a16="http://schemas.microsoft.com/office/drawing/2014/main" id="{0A616DC9-A6A7-4352-82A0-5734D4E755DE}"/>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F82CA224-F30A-4901-8607-F667E88119A1}"/>
                </a:ext>
              </a:extLst>
            </xdr:cNvPr>
            <xdr:cNvSpPr txBox="1"/>
          </xdr:nvSpPr>
          <xdr:spPr>
            <a:xfrm>
              <a:off x="3895685" y="1214825"/>
              <a:ext cx="10546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b="0">
                  <a:solidFill>
                    <a:schemeClr val="tx1"/>
                  </a:solidFill>
                  <a:latin typeface="Meiryo UI" pitchFamily="50" charset="-128"/>
                  <a:ea typeface="Meiryo UI" pitchFamily="50" charset="-128"/>
                  <a:cs typeface="Meiryo UI" pitchFamily="50" charset="-128"/>
                </a:rPr>
                <a:t>-1,146</a:t>
              </a:r>
            </a:p>
            <a:p>
              <a:pPr algn="ctr">
                <a:lnSpc>
                  <a:spcPct val="60000"/>
                </a:lnSpc>
                <a:spcBef>
                  <a:spcPct val="0"/>
                </a:spcBef>
              </a:pPr>
              <a:r>
                <a:rPr lang="en-US" altLang="ja-JP" sz="1400" b="0">
                  <a:solidFill>
                    <a:schemeClr val="tx1"/>
                  </a:solidFill>
                  <a:latin typeface="Meiryo UI" pitchFamily="50" charset="-128"/>
                  <a:ea typeface="Meiryo UI" pitchFamily="50" charset="-128"/>
                  <a:cs typeface="Meiryo UI" pitchFamily="50" charset="-128"/>
                </a:rPr>
                <a:t>(-10.2%)</a:t>
              </a:r>
            </a:p>
          </xdr:txBody>
        </xdr:sp>
        <xdr:sp macro="" textlink="">
          <xdr:nvSpPr>
            <xdr:cNvPr id="32" name="テキスト ボックス 49">
              <a:extLst>
                <a:ext uri="{FF2B5EF4-FFF2-40B4-BE49-F238E27FC236}">
                  <a16:creationId xmlns:a16="http://schemas.microsoft.com/office/drawing/2014/main" id="{CE86BD09-1C22-4A3C-9360-6F50CC0AFBE3}"/>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クラウド・アンド・</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ソフトウェア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a:t>
              </a:r>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and software</a:t>
              </a:r>
              <a:endParaRPr lang="en-US" altLang="ja-JP" sz="1100">
                <a:latin typeface="Meiryo UI" pitchFamily="50" charset="-128"/>
                <a:ea typeface="Meiryo UI" pitchFamily="50" charset="-128"/>
                <a:cs typeface="Meiryo UI" pitchFamily="50" charset="-128"/>
              </a:endParaRPr>
            </a:p>
          </xdr:txBody>
        </xdr:sp>
        <xdr:sp macro="" textlink="">
          <xdr:nvSpPr>
            <xdr:cNvPr id="33" name="テキスト ボックス 51">
              <a:extLst>
                <a:ext uri="{FF2B5EF4-FFF2-40B4-BE49-F238E27FC236}">
                  <a16:creationId xmlns:a16="http://schemas.microsoft.com/office/drawing/2014/main" id="{984DE4DD-B966-4386-B84D-5773FDCCD801}"/>
                </a:ext>
              </a:extLst>
            </xdr:cNvPr>
            <xdr:cNvSpPr txBox="1">
              <a:spLocks noChangeArrowheads="1"/>
            </xdr:cNvSpPr>
          </xdr:nvSpPr>
          <xdr:spPr bwMode="auto">
            <a:xfrm>
              <a:off x="5258202" y="163231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6053F0EF-112B-469A-9CA2-F2502487071F}"/>
                </a:ext>
              </a:extLst>
            </xdr:cNvPr>
            <xdr:cNvSpPr txBox="1">
              <a:spLocks noChangeArrowheads="1"/>
            </xdr:cNvSpPr>
          </xdr:nvSpPr>
          <xdr:spPr bwMode="auto">
            <a:xfrm>
              <a:off x="4000290" y="1706387"/>
              <a:ext cx="878766" cy="49604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xdr:txBody>
        </xdr:sp>
        <xdr:sp macro="" textlink="" fLocksText="0">
          <xdr:nvSpPr>
            <xdr:cNvPr id="35" name="正方形/長方形 26">
              <a:extLst>
                <a:ext uri="{FF2B5EF4-FFF2-40B4-BE49-F238E27FC236}">
                  <a16:creationId xmlns:a16="http://schemas.microsoft.com/office/drawing/2014/main" id="{CC43A99C-16A1-47F8-969D-E0B2C02BED56}"/>
                </a:ext>
              </a:extLst>
            </xdr:cNvPr>
            <xdr:cNvSpPr/>
          </xdr:nvSpPr>
          <xdr:spPr bwMode="auto">
            <a:xfrm>
              <a:off x="5163404" y="1598452"/>
              <a:ext cx="929522" cy="68625"/>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A9E75A4C-5FFE-49FE-9588-D04E45D3FE67}"/>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B8B0D413-40F9-493C-BBB4-66EF6A7D10B6}"/>
              </a:ext>
            </a:extLst>
          </xdr:cNvPr>
          <xdr:cNvSpPr txBox="1"/>
        </xdr:nvSpPr>
        <xdr:spPr>
          <a:xfrm>
            <a:off x="6282671" y="1183817"/>
            <a:ext cx="1240770" cy="507711"/>
          </a:xfrm>
          <a:prstGeom prst="rect">
            <a:avLst/>
          </a:prstGeom>
          <a:noFill/>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206,670</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3E5A5E90-A8D5-4EE4-AD92-E892F51D0BD6}"/>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EE331A5D-9B76-45EF-8FBD-1152022D783F}"/>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94078690-4635-468E-87CD-975031F8F12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4214A4C4-1279-4007-9992-C5E27867C3F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586C4512-B64C-4B73-A66F-29B7DD5E367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B25D2F8-2758-445E-BCFE-D99C8CCE3C3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ED108F12-4E03-49E9-A75E-A727B65F6296}"/>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8BA34E47-85D0-4F34-9108-C839FE1F81B2}"/>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527E7CA2-24F0-40FA-BF20-E2603DA1B627}"/>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7004BDDF-182E-4FFF-B094-F3E7F8A054E5}"/>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81515</xdr:rowOff>
    </xdr:to>
    <xdr:grpSp>
      <xdr:nvGrpSpPr>
        <xdr:cNvPr id="14" name="グループ化 23">
          <a:extLst>
            <a:ext uri="{FF2B5EF4-FFF2-40B4-BE49-F238E27FC236}">
              <a16:creationId xmlns:a16="http://schemas.microsoft.com/office/drawing/2014/main" id="{8A2FAB31-C0A9-4B3C-9232-E2C2E6C240E2}"/>
            </a:ext>
          </a:extLst>
        </xdr:cNvPr>
        <xdr:cNvGrpSpPr>
          <a:grpSpLocks/>
        </xdr:cNvGrpSpPr>
      </xdr:nvGrpSpPr>
      <xdr:grpSpPr>
        <a:xfrm>
          <a:off x="277920" y="491177"/>
          <a:ext cx="8609751" cy="4607274"/>
          <a:chOff x="190005" y="202199"/>
          <a:chExt cx="8752114" cy="4563520"/>
        </a:xfrm>
      </xdr:grpSpPr>
      <xdr:sp macro="" textlink="" fLocksText="0">
        <xdr:nvSpPr>
          <xdr:cNvPr id="16" name="正方形/長方形 4">
            <a:extLst>
              <a:ext uri="{FF2B5EF4-FFF2-40B4-BE49-F238E27FC236}">
                <a16:creationId xmlns:a16="http://schemas.microsoft.com/office/drawing/2014/main" id="{F4CCD2E6-8A49-4623-8242-2EDD06814228}"/>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103,637</a:t>
            </a:r>
          </a:p>
        </xdr:txBody>
      </xdr:sp>
      <xdr:sp macro="" textlink="" fLocksText="0">
        <xdr:nvSpPr>
          <xdr:cNvPr id="17" name="正方形/長方形 7">
            <a:extLst>
              <a:ext uri="{FF2B5EF4-FFF2-40B4-BE49-F238E27FC236}">
                <a16:creationId xmlns:a16="http://schemas.microsoft.com/office/drawing/2014/main" id="{1CF13251-FC8F-454E-A1B0-3D59DC971595}"/>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25,034</a:t>
            </a:r>
          </a:p>
        </xdr:txBody>
      </xdr:sp>
      <xdr:sp macro="" textlink="" fLocksText="0">
        <xdr:nvSpPr>
          <xdr:cNvPr id="18" name="正方形/長方形 8">
            <a:extLst>
              <a:ext uri="{FF2B5EF4-FFF2-40B4-BE49-F238E27FC236}">
                <a16:creationId xmlns:a16="http://schemas.microsoft.com/office/drawing/2014/main" id="{A451FE9C-3318-44B0-A668-367BD74EC24A}"/>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64,219</a:t>
            </a:r>
          </a:p>
        </xdr:txBody>
      </xdr:sp>
      <xdr:sp macro="" textlink="" fLocksText="0">
        <xdr:nvSpPr>
          <xdr:cNvPr id="19" name="正方形/長方形 9">
            <a:extLst>
              <a:ext uri="{FF2B5EF4-FFF2-40B4-BE49-F238E27FC236}">
                <a16:creationId xmlns:a16="http://schemas.microsoft.com/office/drawing/2014/main" id="{5F211300-4A18-4574-9642-86401784B12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113,835</a:t>
            </a:r>
          </a:p>
        </xdr:txBody>
      </xdr:sp>
      <xdr:sp macro="" textlink="" fLocksText="0">
        <xdr:nvSpPr>
          <xdr:cNvPr id="20" name="正方形/長方形 10">
            <a:extLst>
              <a:ext uri="{FF2B5EF4-FFF2-40B4-BE49-F238E27FC236}">
                <a16:creationId xmlns:a16="http://schemas.microsoft.com/office/drawing/2014/main" id="{D31EF9FC-EEA7-44CB-B0B1-20BE900DF0B9}"/>
              </a:ext>
            </a:extLst>
          </xdr:cNvPr>
          <xdr:cNvSpPr/>
        </xdr:nvSpPr>
        <xdr:spPr bwMode="auto">
          <a:xfrm>
            <a:off x="6686461" y="1619870"/>
            <a:ext cx="1139329" cy="831403"/>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25,811</a:t>
            </a:r>
          </a:p>
        </xdr:txBody>
      </xdr:sp>
      <xdr:sp macro="" textlink="" fLocksText="0">
        <xdr:nvSpPr>
          <xdr:cNvPr id="21" name="正方形/長方形 11">
            <a:extLst>
              <a:ext uri="{FF2B5EF4-FFF2-40B4-BE49-F238E27FC236}">
                <a16:creationId xmlns:a16="http://schemas.microsoft.com/office/drawing/2014/main" id="{AC227158-F57D-4E16-BD9D-8A0460D997C6}"/>
              </a:ext>
            </a:extLst>
          </xdr:cNvPr>
          <xdr:cNvSpPr/>
        </xdr:nvSpPr>
        <xdr:spPr bwMode="auto">
          <a:xfrm>
            <a:off x="6683992" y="719561"/>
            <a:ext cx="1139329" cy="90661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67,023</a:t>
            </a:r>
          </a:p>
        </xdr:txBody>
      </xdr:sp>
      <xdr:sp macro="" textlink="" fLocksText="0">
        <xdr:nvSpPr>
          <xdr:cNvPr id="22" name="正方形/長方形 12">
            <a:extLst>
              <a:ext uri="{FF2B5EF4-FFF2-40B4-BE49-F238E27FC236}">
                <a16:creationId xmlns:a16="http://schemas.microsoft.com/office/drawing/2014/main" id="{5E82AB40-1725-4A5D-885B-98791980D2CB}"/>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192,892</a:t>
            </a:r>
          </a:p>
        </xdr:txBody>
      </xdr:sp>
      <xdr:sp macro="" textlink="" fLocksText="0">
        <xdr:nvSpPr>
          <xdr:cNvPr id="23" name="正方形/長方形 13">
            <a:extLst>
              <a:ext uri="{FF2B5EF4-FFF2-40B4-BE49-F238E27FC236}">
                <a16:creationId xmlns:a16="http://schemas.microsoft.com/office/drawing/2014/main" id="{9B50063B-04B3-4622-BC80-0C163F434C3D}"/>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206,670</a:t>
            </a:r>
          </a:p>
        </xdr:txBody>
      </xdr:sp>
      <xdr:cxnSp macro="">
        <xdr:nvCxnSpPr>
          <xdr:cNvPr id="24" name="直線コネクタ 14">
            <a:extLst>
              <a:ext uri="{FF2B5EF4-FFF2-40B4-BE49-F238E27FC236}">
                <a16:creationId xmlns:a16="http://schemas.microsoft.com/office/drawing/2014/main" id="{91B0E0D1-311F-43EB-A6BA-897B608CC258}"/>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1C7AC633-5CA0-4BE7-A458-F4EB598EC8B9}"/>
              </a:ext>
            </a:extLst>
          </xdr:cNvPr>
          <xdr:cNvCxnSpPr/>
        </xdr:nvCxnSpPr>
        <xdr:spPr bwMode="auto">
          <a:xfrm flipV="1">
            <a:off x="2369228" y="1632484"/>
            <a:ext cx="4312077" cy="309011"/>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DFD10641-3BE9-4528-9A83-39B3D8D7BAA0}"/>
              </a:ext>
            </a:extLst>
          </xdr:cNvPr>
          <xdr:cNvSpPr txBox="1"/>
        </xdr:nvSpPr>
        <xdr:spPr>
          <a:xfrm>
            <a:off x="2754907" y="1733385"/>
            <a:ext cx="3619833" cy="93538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+776 (+3.1%)</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-500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r>
              <a:rPr lang="en-US" altLang="ja-JP" sz="1100" baseline="0">
                <a:latin typeface="Meiryo UI" pitchFamily="50" charset="-128"/>
                <a:ea typeface="Meiryo UI" pitchFamily="50" charset="-128"/>
                <a:cs typeface="Meiryo UI" pitchFamily="50" charset="-128"/>
              </a:rPr>
              <a:t> </a:t>
            </a:r>
          </a:p>
          <a:p>
            <a:pPr algn="l">
              <a:lnSpc>
                <a:spcPct val="70000"/>
              </a:lnSpc>
              <a:spcBef>
                <a:spcPct val="0"/>
              </a:spcBef>
            </a:pPr>
            <a:r>
              <a:rPr lang="en-US" altLang="ja-JP" sz="1100" baseline="0">
                <a:latin typeface="Meiryo UI" pitchFamily="50" charset="-128"/>
                <a:ea typeface="Meiryo UI" pitchFamily="50" charset="-128"/>
                <a:cs typeface="Meiryo UI" pitchFamily="50" charset="-128"/>
              </a:rPr>
              <a:t>                +632</a:t>
            </a: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ja-JP" altLang="en-US" sz="1100" baseline="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+555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xdr:txBody>
      </xdr:sp>
      <xdr:cxnSp macro="">
        <xdr:nvCxnSpPr>
          <xdr:cNvPr id="27" name="直線コネクタ 17">
            <a:extLst>
              <a:ext uri="{FF2B5EF4-FFF2-40B4-BE49-F238E27FC236}">
                <a16:creationId xmlns:a16="http://schemas.microsoft.com/office/drawing/2014/main" id="{206CDFD9-8D0A-4534-AB77-EC20422EEA49}"/>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3B6F63DB-742B-455C-ACE7-7C5E21355AAD}"/>
              </a:ext>
            </a:extLst>
          </xdr:cNvPr>
          <xdr:cNvSpPr txBox="1"/>
        </xdr:nvSpPr>
        <xdr:spPr>
          <a:xfrm>
            <a:off x="3065929" y="1070133"/>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+2,804 </a:t>
            </a:r>
            <a:r>
              <a:rPr lang="en-US" altLang="ja-JP" sz="1400" b="0">
                <a:latin typeface="Meiryo UI" pitchFamily="50" charset="-128"/>
                <a:ea typeface="Meiryo UI" pitchFamily="50" charset="-128"/>
                <a:cs typeface="Meiryo UI" pitchFamily="50" charset="-128"/>
              </a:rPr>
              <a:t>(+4.4%)</a:t>
            </a:r>
          </a:p>
        </xdr:txBody>
      </xdr:sp>
      <xdr:sp macro="" textlink="">
        <xdr:nvSpPr>
          <xdr:cNvPr id="29" name="テキスト ボックス 19">
            <a:extLst>
              <a:ext uri="{FF2B5EF4-FFF2-40B4-BE49-F238E27FC236}">
                <a16:creationId xmlns:a16="http://schemas.microsoft.com/office/drawing/2014/main" id="{8A040BF1-137F-4FA4-A5D0-3F1E7EB6B4F9}"/>
              </a:ext>
            </a:extLst>
          </xdr:cNvPr>
          <xdr:cNvSpPr txBox="1"/>
        </xdr:nvSpPr>
        <xdr:spPr>
          <a:xfrm>
            <a:off x="699838" y="4080657"/>
            <a:ext cx="1461518"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FY25Q3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94E2025D-955C-4E43-8003-0CD537E98DB7}"/>
              </a:ext>
            </a:extLst>
          </xdr:cNvPr>
          <xdr:cNvSpPr txBox="1"/>
        </xdr:nvSpPr>
        <xdr:spPr>
          <a:xfrm>
            <a:off x="7021752" y="4087914"/>
            <a:ext cx="1385043"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FY26Q3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99F8873D-4AD3-4DBA-A5E5-104EB86552B2}"/>
              </a:ext>
            </a:extLst>
          </xdr:cNvPr>
          <xdr:cNvSpPr txBox="1"/>
        </xdr:nvSpPr>
        <xdr:spPr>
          <a:xfrm>
            <a:off x="2662028" y="2799159"/>
            <a:ext cx="3828508" cy="1168256"/>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+10,197</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(+9.8%)</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+9,140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ja-JP" altLang="en-US" sz="1100" baseline="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+512</a:t>
            </a:r>
            <a:r>
              <a:rPr lang="en-US" altLang="ja-JP" sz="1100">
                <a:solidFill>
                  <a:schemeClr val="bg1"/>
                </a:solidFill>
                <a:latin typeface="Meiryo UI" pitchFamily="50" charset="-128"/>
                <a:ea typeface="Meiryo UI" pitchFamily="50" charset="-128"/>
                <a:cs typeface="Meiryo UI" pitchFamily="50" charset="-128"/>
              </a:rPr>
              <a:t>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 </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-793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+1,049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                   </a:t>
            </a:r>
          </a:p>
        </xdr:txBody>
      </xdr:sp>
      <xdr:sp macro="" textlink="">
        <xdr:nvSpPr>
          <xdr:cNvPr id="32" name="テキスト ボックス 28">
            <a:extLst>
              <a:ext uri="{FF2B5EF4-FFF2-40B4-BE49-F238E27FC236}">
                <a16:creationId xmlns:a16="http://schemas.microsoft.com/office/drawing/2014/main" id="{4CF56F27-F399-4BC1-8F87-0EC9945CFEB1}"/>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88FB93A2-5D83-43C3-AB8C-834E139B993B}"/>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25" customHeight="1"/>
  <cols>
    <col min="1" max="1" width="5.1328125" style="27" customWidth="1"/>
    <col min="2" max="16384" width="9" style="27"/>
  </cols>
  <sheetData>
    <row r="1" spans="1:17" ht="20.25" customHeight="1">
      <c r="A1" s="49"/>
      <c r="B1" s="49"/>
      <c r="C1" s="49"/>
      <c r="D1" s="49"/>
      <c r="E1" s="49"/>
      <c r="F1" s="49"/>
      <c r="G1" s="49"/>
      <c r="H1" s="49"/>
      <c r="I1" s="49"/>
      <c r="J1" s="49"/>
      <c r="K1" s="49"/>
      <c r="L1" s="49"/>
      <c r="M1" s="49"/>
      <c r="N1" s="49"/>
      <c r="O1" s="49"/>
      <c r="P1" s="49"/>
      <c r="Q1" s="49"/>
    </row>
    <row r="2" spans="1:17" ht="20.25" customHeight="1">
      <c r="A2" s="49"/>
      <c r="B2" s="49"/>
      <c r="C2" s="49"/>
      <c r="D2" s="49"/>
      <c r="E2" s="49"/>
      <c r="F2" s="49"/>
      <c r="G2" s="49"/>
      <c r="H2" s="49"/>
      <c r="I2" s="49"/>
      <c r="J2" s="49"/>
      <c r="K2" s="49"/>
      <c r="L2" s="49"/>
      <c r="M2" s="49"/>
      <c r="N2" s="49"/>
      <c r="O2" s="49"/>
      <c r="P2" s="49"/>
      <c r="Q2" s="49"/>
    </row>
    <row r="3" spans="1:17" ht="20.25" customHeight="1">
      <c r="A3" s="49"/>
      <c r="B3" s="49"/>
      <c r="C3" s="49"/>
      <c r="D3" s="49"/>
      <c r="E3" s="49"/>
      <c r="F3" s="49"/>
      <c r="G3" s="49"/>
      <c r="H3" s="49"/>
      <c r="I3" s="49"/>
      <c r="J3" s="49"/>
      <c r="K3" s="49"/>
      <c r="L3" s="49"/>
      <c r="M3" s="49"/>
      <c r="N3" s="49"/>
      <c r="O3" s="49"/>
      <c r="P3" s="49"/>
      <c r="Q3" s="49"/>
    </row>
    <row r="4" spans="1:17" ht="20.25" customHeight="1">
      <c r="A4" s="49"/>
      <c r="B4" s="49"/>
      <c r="C4" s="49"/>
      <c r="D4" s="49"/>
      <c r="E4" s="49"/>
      <c r="F4" s="49"/>
      <c r="G4" s="49"/>
      <c r="H4" s="49"/>
      <c r="I4" s="49"/>
      <c r="J4" s="49"/>
      <c r="K4" s="49"/>
      <c r="L4" s="49"/>
      <c r="M4" s="49"/>
      <c r="N4" s="49"/>
      <c r="O4" s="49"/>
      <c r="P4" s="49"/>
      <c r="Q4" s="49"/>
    </row>
    <row r="5" spans="1:17" ht="20.25" customHeight="1">
      <c r="A5" s="49"/>
      <c r="B5" s="49"/>
      <c r="C5" s="49"/>
      <c r="D5" s="49"/>
      <c r="E5" s="49"/>
      <c r="F5" s="49"/>
      <c r="G5" s="49"/>
      <c r="H5" s="49"/>
      <c r="I5" s="49"/>
      <c r="J5" s="49"/>
      <c r="K5" s="49"/>
      <c r="L5" s="49"/>
      <c r="M5" s="49"/>
      <c r="N5" s="49"/>
      <c r="O5" s="49"/>
      <c r="P5" s="49"/>
      <c r="Q5" s="49"/>
    </row>
    <row r="6" spans="1:17" ht="22.15">
      <c r="A6" s="49"/>
      <c r="B6" s="503" t="s">
        <v>0</v>
      </c>
      <c r="C6" s="503"/>
      <c r="D6" s="503"/>
      <c r="E6" s="503"/>
      <c r="F6" s="503"/>
      <c r="G6" s="503"/>
      <c r="H6" s="503"/>
      <c r="I6" s="503"/>
      <c r="J6" s="503"/>
      <c r="K6" s="503"/>
      <c r="L6" s="503"/>
      <c r="M6" s="503"/>
      <c r="N6" s="503"/>
      <c r="O6" s="503"/>
      <c r="P6" s="503"/>
      <c r="Q6" s="49"/>
    </row>
    <row r="7" spans="1:17" ht="18.75">
      <c r="A7" s="49"/>
      <c r="B7" s="504" t="s">
        <v>1</v>
      </c>
      <c r="C7" s="504"/>
      <c r="D7" s="504"/>
      <c r="E7" s="504"/>
      <c r="F7" s="504"/>
      <c r="G7" s="504"/>
      <c r="H7" s="504"/>
      <c r="I7" s="504"/>
      <c r="J7" s="504"/>
      <c r="K7" s="504"/>
      <c r="L7" s="504"/>
      <c r="M7" s="504"/>
      <c r="N7" s="504"/>
      <c r="O7" s="504"/>
      <c r="P7" s="504"/>
      <c r="Q7" s="49"/>
    </row>
    <row r="8" spans="1:17" ht="18.75">
      <c r="A8" s="49"/>
      <c r="B8" s="504" t="s">
        <v>2</v>
      </c>
      <c r="C8" s="504"/>
      <c r="D8" s="504"/>
      <c r="E8" s="504"/>
      <c r="F8" s="504"/>
      <c r="G8" s="504"/>
      <c r="H8" s="504"/>
      <c r="I8" s="504"/>
      <c r="J8" s="504"/>
      <c r="K8" s="504"/>
      <c r="L8" s="504"/>
      <c r="M8" s="504"/>
      <c r="N8" s="504"/>
      <c r="O8" s="504"/>
      <c r="P8" s="504"/>
      <c r="Q8" s="49"/>
    </row>
    <row r="9" spans="1:17" ht="21" customHeight="1">
      <c r="A9" s="49"/>
      <c r="B9" s="505">
        <v>46105</v>
      </c>
      <c r="C9" s="505"/>
      <c r="D9" s="505"/>
      <c r="E9" s="505"/>
      <c r="F9" s="505"/>
      <c r="G9" s="505"/>
      <c r="H9" s="505"/>
      <c r="I9" s="505"/>
      <c r="J9" s="505"/>
      <c r="K9" s="505"/>
      <c r="L9" s="505"/>
      <c r="M9" s="505"/>
      <c r="N9" s="505"/>
      <c r="O9" s="505"/>
      <c r="P9" s="505"/>
      <c r="Q9" s="49"/>
    </row>
    <row r="10" spans="1:17" ht="20.25" customHeight="1">
      <c r="A10" s="49"/>
      <c r="B10" s="49"/>
      <c r="C10" s="49"/>
      <c r="D10" s="49"/>
      <c r="E10" s="49"/>
      <c r="F10" s="49"/>
      <c r="G10" s="49"/>
      <c r="H10" s="49"/>
      <c r="I10" s="49"/>
      <c r="J10" s="49"/>
      <c r="K10" s="49"/>
      <c r="L10" s="49"/>
      <c r="M10" s="49"/>
      <c r="N10" s="49"/>
      <c r="O10" s="49"/>
      <c r="P10" s="49"/>
      <c r="Q10" s="49"/>
    </row>
    <row r="11" spans="1:17" s="28" customFormat="1" ht="23.1" customHeight="1">
      <c r="A11" s="50"/>
      <c r="B11" s="51" t="s">
        <v>3</v>
      </c>
      <c r="C11" s="50" t="s">
        <v>4</v>
      </c>
      <c r="D11" s="50"/>
      <c r="E11" s="50"/>
      <c r="F11" s="50"/>
      <c r="G11" s="50"/>
      <c r="H11" s="52"/>
      <c r="I11" s="50"/>
      <c r="J11" s="51"/>
      <c r="K11" s="50"/>
      <c r="L11" s="50"/>
      <c r="M11" s="50"/>
      <c r="N11" s="50"/>
      <c r="O11" s="50"/>
      <c r="P11" s="50"/>
      <c r="Q11" s="50"/>
    </row>
    <row r="12" spans="1:17" s="28" customFormat="1" ht="23.1" customHeight="1">
      <c r="A12" s="50"/>
      <c r="B12" s="51" t="s">
        <v>5</v>
      </c>
      <c r="C12" s="50" t="s">
        <v>6</v>
      </c>
      <c r="D12" s="50"/>
      <c r="E12" s="50"/>
      <c r="F12" s="50"/>
      <c r="G12" s="50"/>
      <c r="H12" s="52"/>
      <c r="I12" s="50"/>
      <c r="J12" s="51"/>
      <c r="K12" s="50"/>
      <c r="L12" s="50"/>
      <c r="M12" s="50"/>
      <c r="N12" s="50"/>
      <c r="O12" s="50"/>
      <c r="P12" s="50"/>
      <c r="Q12" s="50"/>
    </row>
    <row r="13" spans="1:17" s="28" customFormat="1" ht="23.1" customHeight="1">
      <c r="A13" s="50"/>
      <c r="B13" s="51"/>
      <c r="C13" s="50"/>
      <c r="D13" s="50"/>
      <c r="E13" s="50"/>
      <c r="F13" s="50"/>
      <c r="G13" s="50"/>
      <c r="H13" s="52"/>
      <c r="I13" s="50"/>
      <c r="J13" s="51"/>
      <c r="K13" s="50"/>
      <c r="L13" s="50"/>
      <c r="M13" s="50"/>
      <c r="N13" s="50"/>
      <c r="O13" s="50"/>
      <c r="P13" s="50"/>
      <c r="Q13" s="50"/>
    </row>
    <row r="14" spans="1:17" s="28" customFormat="1" ht="23.1" customHeight="1">
      <c r="A14" s="50"/>
      <c r="B14" s="51"/>
      <c r="C14" s="50"/>
      <c r="D14" s="50"/>
      <c r="E14" s="50"/>
      <c r="F14" s="50"/>
      <c r="G14" s="50"/>
      <c r="H14" s="52"/>
      <c r="I14" s="50"/>
      <c r="J14" s="51"/>
      <c r="K14" s="50"/>
      <c r="L14" s="50"/>
      <c r="M14" s="50"/>
      <c r="N14" s="50"/>
      <c r="O14" s="50"/>
      <c r="P14" s="50"/>
      <c r="Q14" s="50"/>
    </row>
    <row r="15" spans="1:17" s="28" customFormat="1" ht="23.1" customHeight="1">
      <c r="A15" s="50"/>
      <c r="B15" s="51"/>
      <c r="C15" s="50"/>
      <c r="D15" s="50"/>
      <c r="E15" s="50"/>
      <c r="F15" s="50"/>
      <c r="G15" s="50"/>
      <c r="H15" s="52"/>
      <c r="I15" s="50"/>
      <c r="J15" s="51"/>
      <c r="K15" s="50"/>
      <c r="L15" s="50"/>
      <c r="M15" s="50"/>
      <c r="N15" s="50"/>
      <c r="O15" s="50"/>
      <c r="P15" s="50"/>
      <c r="Q15" s="50"/>
    </row>
    <row r="16" spans="1:17" s="28" customFormat="1" ht="23.1" customHeight="1">
      <c r="A16" s="50"/>
      <c r="B16" s="51"/>
      <c r="C16" s="50"/>
      <c r="D16" s="50"/>
      <c r="E16" s="50"/>
      <c r="F16" s="50"/>
      <c r="G16" s="50"/>
      <c r="H16" s="52"/>
      <c r="I16" s="50"/>
      <c r="J16" s="51"/>
      <c r="K16" s="50"/>
      <c r="L16" s="50"/>
      <c r="M16" s="50"/>
      <c r="N16" s="50"/>
      <c r="O16" s="50"/>
      <c r="P16" s="50"/>
      <c r="Q16" s="50"/>
    </row>
    <row r="17" spans="1:17" ht="20.25" customHeight="1">
      <c r="A17" s="49"/>
      <c r="B17" s="51"/>
      <c r="C17" s="50"/>
      <c r="D17" s="49"/>
      <c r="E17" s="49"/>
      <c r="F17" s="53"/>
      <c r="G17" s="49"/>
      <c r="H17" s="49"/>
      <c r="I17" s="49"/>
      <c r="J17" s="49"/>
      <c r="K17" s="49"/>
      <c r="L17" s="49"/>
      <c r="M17" s="49"/>
      <c r="N17" s="49"/>
      <c r="O17" s="49"/>
      <c r="P17" s="49"/>
      <c r="Q17" s="49"/>
    </row>
    <row r="18" spans="1:17" ht="22.15">
      <c r="A18" s="49"/>
      <c r="B18" s="1"/>
      <c r="C18" s="1"/>
      <c r="D18" s="1"/>
      <c r="E18" s="1"/>
      <c r="F18" s="1"/>
      <c r="G18" s="1"/>
      <c r="H18" s="1"/>
      <c r="I18" s="1"/>
      <c r="J18" s="1"/>
      <c r="K18" s="1"/>
      <c r="L18" s="1"/>
      <c r="M18" s="1"/>
      <c r="N18" s="1"/>
      <c r="O18" s="1"/>
      <c r="P18" s="1"/>
      <c r="Q18" s="49"/>
    </row>
    <row r="19" spans="1:17" ht="26.25" customHeight="1">
      <c r="A19" s="49"/>
      <c r="B19" s="503" t="s">
        <v>7</v>
      </c>
      <c r="C19" s="503"/>
      <c r="D19" s="503"/>
      <c r="E19" s="503"/>
      <c r="F19" s="503"/>
      <c r="G19" s="503"/>
      <c r="H19" s="503"/>
      <c r="I19" s="503"/>
      <c r="J19" s="503"/>
      <c r="K19" s="503"/>
      <c r="L19" s="503"/>
      <c r="M19" s="503"/>
      <c r="N19" s="503"/>
      <c r="O19" s="503"/>
      <c r="P19" s="503"/>
      <c r="Q19" s="49"/>
    </row>
    <row r="20" spans="1:17" ht="26.25" customHeight="1">
      <c r="A20" s="49"/>
      <c r="B20" s="54"/>
      <c r="C20" s="54"/>
      <c r="D20" s="54"/>
      <c r="E20" s="54"/>
      <c r="F20" s="54"/>
      <c r="G20" s="54"/>
      <c r="H20" s="54"/>
      <c r="I20" s="55" t="s">
        <v>8</v>
      </c>
      <c r="J20" s="54"/>
      <c r="K20" s="54"/>
      <c r="L20" s="54"/>
      <c r="M20" s="54"/>
      <c r="N20" s="54"/>
      <c r="O20" s="54"/>
      <c r="P20" s="54"/>
      <c r="Q20" s="49"/>
    </row>
    <row r="21" spans="1:17" ht="20.25" customHeight="1">
      <c r="A21" s="49"/>
      <c r="B21" s="49"/>
      <c r="C21" s="49"/>
      <c r="D21" s="49"/>
      <c r="E21" s="49"/>
      <c r="F21" s="49"/>
      <c r="G21" s="49"/>
      <c r="H21" s="49"/>
      <c r="I21" s="49"/>
      <c r="J21" s="49"/>
      <c r="K21" s="49"/>
      <c r="L21" s="49"/>
      <c r="M21" s="49"/>
      <c r="N21" s="49"/>
      <c r="O21" s="49"/>
      <c r="P21" s="49"/>
      <c r="Q21" s="49"/>
    </row>
    <row r="22" spans="1:17" ht="20.25" customHeight="1">
      <c r="A22" s="49"/>
      <c r="B22" s="49"/>
      <c r="C22" s="49"/>
      <c r="D22" s="49"/>
      <c r="E22" s="49"/>
      <c r="F22" s="49"/>
      <c r="G22" s="49"/>
      <c r="H22" s="49"/>
      <c r="I22" s="49"/>
      <c r="J22" s="49"/>
      <c r="K22" s="49"/>
      <c r="L22" s="49"/>
      <c r="M22" s="49"/>
      <c r="N22" s="49"/>
      <c r="O22" s="49"/>
      <c r="P22" s="49"/>
      <c r="Q22" s="49"/>
    </row>
    <row r="23" spans="1:17" ht="20.25" customHeight="1">
      <c r="A23" s="49"/>
      <c r="B23" s="49"/>
      <c r="C23" s="49"/>
      <c r="D23" s="49"/>
      <c r="E23" s="49"/>
      <c r="F23" s="49"/>
      <c r="G23" s="49"/>
      <c r="H23" s="49"/>
      <c r="I23" s="49"/>
      <c r="J23" s="49"/>
      <c r="K23" s="49"/>
      <c r="L23" s="49"/>
      <c r="M23" s="49"/>
      <c r="N23" s="49"/>
      <c r="O23" s="49"/>
      <c r="P23" s="49"/>
      <c r="Q23" s="49"/>
    </row>
    <row r="24" spans="1:17" ht="20.25" customHeight="1">
      <c r="A24" s="49"/>
      <c r="B24" s="49"/>
      <c r="C24" s="49"/>
      <c r="D24" s="49"/>
      <c r="E24" s="49"/>
      <c r="F24" s="49"/>
      <c r="G24" s="49"/>
      <c r="H24" s="49"/>
      <c r="I24" s="49"/>
      <c r="J24" s="49"/>
      <c r="K24" s="49"/>
      <c r="L24" s="49"/>
      <c r="M24" s="49"/>
      <c r="N24" s="49"/>
      <c r="O24" s="49"/>
      <c r="P24" s="49"/>
      <c r="Q24" s="49"/>
    </row>
    <row r="25" spans="1:17" ht="20.25" customHeight="1">
      <c r="A25" s="49"/>
      <c r="B25" s="49"/>
      <c r="C25" s="49"/>
      <c r="D25" s="49"/>
      <c r="E25" s="49"/>
      <c r="F25" s="49"/>
      <c r="G25" s="49"/>
      <c r="H25" s="49"/>
      <c r="I25" s="49"/>
      <c r="J25" s="49"/>
      <c r="K25" s="49"/>
      <c r="L25" s="49"/>
      <c r="M25" s="49"/>
      <c r="N25" s="49"/>
      <c r="O25" s="49"/>
      <c r="P25" s="49"/>
      <c r="Q25" s="49"/>
    </row>
    <row r="26" spans="1:17" ht="20.25" customHeight="1">
      <c r="A26" s="49"/>
      <c r="B26" s="49"/>
      <c r="C26" s="49"/>
      <c r="D26" s="49"/>
      <c r="E26" s="49"/>
      <c r="F26" s="49"/>
      <c r="G26" s="49"/>
      <c r="H26" s="49"/>
      <c r="I26" s="49"/>
      <c r="J26" s="49"/>
      <c r="K26" s="49"/>
      <c r="L26" s="49"/>
      <c r="M26" s="49"/>
      <c r="N26" s="49"/>
      <c r="O26" s="49"/>
      <c r="P26" s="49"/>
      <c r="Q26" s="49"/>
    </row>
    <row r="27" spans="1:17" ht="20.25" customHeight="1">
      <c r="A27" s="49"/>
      <c r="B27" s="49"/>
      <c r="C27" s="49"/>
      <c r="D27" s="49"/>
      <c r="E27" s="49"/>
      <c r="F27" s="49"/>
      <c r="G27" s="49"/>
      <c r="H27" s="49"/>
      <c r="I27" s="49"/>
      <c r="J27" s="49"/>
      <c r="K27" s="49"/>
      <c r="L27" s="49"/>
      <c r="M27" s="49"/>
      <c r="N27" s="49"/>
      <c r="O27" s="49"/>
      <c r="P27" s="49"/>
      <c r="Q27" s="49"/>
    </row>
    <row r="28" spans="1:17" ht="20.25" customHeight="1">
      <c r="A28" s="49"/>
      <c r="B28" s="49"/>
      <c r="C28" s="49"/>
      <c r="D28" s="49"/>
      <c r="E28" s="49"/>
      <c r="F28" s="49"/>
      <c r="G28" s="49"/>
      <c r="H28" s="49"/>
      <c r="I28" s="49"/>
      <c r="J28" s="49"/>
      <c r="K28" s="49"/>
      <c r="L28" s="49"/>
      <c r="M28" s="49"/>
      <c r="N28" s="49"/>
      <c r="O28" s="49"/>
      <c r="P28" s="49"/>
      <c r="Q28" s="49"/>
    </row>
    <row r="29" spans="1:17" ht="20.25" customHeight="1">
      <c r="A29" s="49"/>
      <c r="B29" s="49"/>
      <c r="C29" s="49"/>
      <c r="D29" s="49"/>
      <c r="E29" s="49"/>
      <c r="F29" s="49"/>
      <c r="G29" s="49"/>
      <c r="H29" s="49"/>
      <c r="I29" s="49"/>
      <c r="J29" s="49"/>
      <c r="K29" s="49"/>
      <c r="L29" s="49"/>
      <c r="M29" s="49"/>
      <c r="N29" s="49"/>
      <c r="O29" s="49"/>
      <c r="P29" s="49"/>
      <c r="Q29" s="49"/>
    </row>
    <row r="30" spans="1:17" ht="20.25" customHeight="1">
      <c r="A30" s="49"/>
      <c r="B30" s="49"/>
      <c r="C30" s="49"/>
      <c r="D30" s="49"/>
      <c r="E30" s="49"/>
      <c r="F30" s="49"/>
      <c r="G30" s="49"/>
      <c r="H30" s="49"/>
      <c r="I30" s="49"/>
      <c r="J30" s="49"/>
      <c r="K30" s="49"/>
      <c r="L30" s="49"/>
      <c r="M30" s="49"/>
      <c r="N30" s="49"/>
      <c r="O30" s="49"/>
      <c r="P30" s="49"/>
      <c r="Q30" s="49"/>
    </row>
  </sheetData>
  <mergeCells count="5">
    <mergeCell ref="B6:P6"/>
    <mergeCell ref="B7:P7"/>
    <mergeCell ref="B19:P19"/>
    <mergeCell ref="B9:P9"/>
    <mergeCell ref="B8:P8"/>
  </mergeCells>
  <phoneticPr fontId="2"/>
  <printOptions horizontalCentered="1" verticalCentered="1"/>
  <pageMargins left="0.43307086614173201" right="0.196850393700787" top="0.66929133858267698" bottom="0.31496062992126" header="0.511811023622047" footer="0.15748031496063"/>
  <pageSetup paperSize="9" scale="85" orientation="landscape" r:id="rId1"/>
  <headerFooter alignWithMargins="0"/>
  <ignoredErrors>
    <ignoredError sqref="B11:B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0"/>
  <sheetViews>
    <sheetView view="pageBreakPreview" zoomScale="40" zoomScaleNormal="55" zoomScaleSheetLayoutView="40" workbookViewId="0">
      <pane xSplit="6" ySplit="4" topLeftCell="G5" activePane="bottomRight" state="frozen"/>
      <selection pane="topRight"/>
      <selection pane="bottomLeft"/>
      <selection pane="bottomRight"/>
    </sheetView>
  </sheetViews>
  <sheetFormatPr defaultColWidth="9" defaultRowHeight="22.15"/>
  <cols>
    <col min="1" max="1" width="2.59765625" style="60" customWidth="1"/>
    <col min="2" max="5" width="3.86328125" style="60" customWidth="1"/>
    <col min="6" max="6" width="80.3984375" style="60" customWidth="1"/>
    <col min="7" max="7" width="21" style="60" customWidth="1"/>
    <col min="8" max="16" width="18.1328125" style="60" customWidth="1"/>
    <col min="17" max="17" width="4.3984375" style="60" customWidth="1"/>
    <col min="18" max="21" width="9" style="60" hidden="1" customWidth="1"/>
    <col min="22" max="22" width="9" style="60"/>
    <col min="23" max="24" width="18.1328125" style="60" bestFit="1" customWidth="1"/>
    <col min="25" max="16384" width="9" style="60"/>
  </cols>
  <sheetData>
    <row r="1" spans="2:16" s="57" customFormat="1" ht="23.25" customHeight="1">
      <c r="B1" s="58" t="s">
        <v>9</v>
      </c>
      <c r="C1" s="58"/>
      <c r="D1" s="58"/>
      <c r="E1" s="58"/>
      <c r="F1" s="58"/>
      <c r="G1" s="58"/>
      <c r="H1" s="58"/>
      <c r="I1" s="97"/>
      <c r="J1" s="97"/>
      <c r="K1" s="97"/>
      <c r="L1" s="97"/>
      <c r="M1" s="97"/>
      <c r="N1" s="97"/>
      <c r="O1" s="97"/>
      <c r="P1" s="59"/>
    </row>
    <row r="2" spans="2:16" ht="30.75" customHeight="1" thickBot="1">
      <c r="B2" s="69" t="s">
        <v>10</v>
      </c>
      <c r="C2" s="69"/>
      <c r="D2" s="64"/>
      <c r="E2" s="64"/>
      <c r="F2" s="64"/>
      <c r="G2" s="129" t="str">
        <f>_EPRCS_VU_d2fb5d56_16c7_415f_b77b_46eb22c1ecce</f>
        <v>Q3</v>
      </c>
      <c r="H2" s="64"/>
      <c r="I2" s="64"/>
      <c r="J2" s="64"/>
      <c r="K2" s="64"/>
      <c r="L2" s="64"/>
      <c r="M2" s="64"/>
      <c r="N2" s="64"/>
      <c r="O2" s="64"/>
      <c r="P2" s="64" t="s">
        <v>11</v>
      </c>
    </row>
    <row r="3" spans="2:16" ht="24.75" customHeight="1">
      <c r="B3" s="506"/>
      <c r="C3" s="507"/>
      <c r="D3" s="508"/>
      <c r="E3" s="508"/>
      <c r="F3" s="508"/>
      <c r="G3" s="278"/>
      <c r="H3" s="279"/>
      <c r="I3" s="280">
        <v>46143</v>
      </c>
      <c r="J3" s="279"/>
      <c r="K3" s="281"/>
      <c r="L3" s="68"/>
      <c r="M3" s="61"/>
      <c r="N3" s="66">
        <v>45778</v>
      </c>
      <c r="O3" s="61"/>
      <c r="P3" s="62"/>
    </row>
    <row r="4" spans="2:16" ht="24.75" customHeight="1" thickBot="1">
      <c r="B4" s="509"/>
      <c r="C4" s="510"/>
      <c r="D4" s="510"/>
      <c r="E4" s="510"/>
      <c r="F4" s="510"/>
      <c r="G4" s="344" t="s">
        <v>12</v>
      </c>
      <c r="H4" s="282" t="s">
        <v>13</v>
      </c>
      <c r="I4" s="370" t="s">
        <v>14</v>
      </c>
      <c r="J4" s="282" t="s">
        <v>15</v>
      </c>
      <c r="K4" s="283" t="s">
        <v>16</v>
      </c>
      <c r="L4" s="348" t="s">
        <v>12</v>
      </c>
      <c r="M4" s="63" t="s">
        <v>13</v>
      </c>
      <c r="N4" s="372" t="s">
        <v>14</v>
      </c>
      <c r="O4" s="63" t="s">
        <v>15</v>
      </c>
      <c r="P4" s="67" t="s">
        <v>16</v>
      </c>
    </row>
    <row r="5" spans="2:16" ht="26.25" customHeight="1">
      <c r="B5" s="529"/>
      <c r="C5" s="507" t="s">
        <v>17</v>
      </c>
      <c r="D5" s="507"/>
      <c r="E5" s="507"/>
      <c r="F5" s="528"/>
      <c r="G5" s="287">
        <v>19097</v>
      </c>
      <c r="H5" s="413">
        <v>20031</v>
      </c>
      <c r="I5" s="425">
        <v>21508</v>
      </c>
      <c r="J5" s="403" t="s">
        <v>286</v>
      </c>
      <c r="K5" s="291">
        <v>60638</v>
      </c>
      <c r="L5" s="349">
        <v>13915</v>
      </c>
      <c r="M5" s="70">
        <v>14368</v>
      </c>
      <c r="N5" s="330">
        <v>16711</v>
      </c>
      <c r="O5" s="71">
        <v>16966</v>
      </c>
      <c r="P5" s="105">
        <v>61962</v>
      </c>
    </row>
    <row r="6" spans="2:16" ht="26.25" customHeight="1">
      <c r="B6" s="530"/>
      <c r="C6" s="514"/>
      <c r="D6" s="514"/>
      <c r="E6" s="514"/>
      <c r="F6" s="522"/>
      <c r="G6" s="345">
        <v>0.372</v>
      </c>
      <c r="H6" s="414">
        <v>0.39400000000000002</v>
      </c>
      <c r="I6" s="423" t="s">
        <v>287</v>
      </c>
      <c r="J6" s="404" t="s">
        <v>286</v>
      </c>
      <c r="K6" s="286">
        <v>0.34799999999999998</v>
      </c>
      <c r="L6" s="350">
        <v>9.1999999999999998E-2</v>
      </c>
      <c r="M6" s="74">
        <v>0.29299999999999998</v>
      </c>
      <c r="N6" s="328">
        <v>0.42499999999999999</v>
      </c>
      <c r="O6" s="75">
        <v>0.33800000000000002</v>
      </c>
      <c r="P6" s="76">
        <v>0.28399999999999997</v>
      </c>
    </row>
    <row r="7" spans="2:16" ht="26.25" customHeight="1">
      <c r="B7" s="530"/>
      <c r="C7" s="526"/>
      <c r="D7" s="524" t="s">
        <v>18</v>
      </c>
      <c r="E7" s="516"/>
      <c r="F7" s="525"/>
      <c r="G7" s="308">
        <v>9132</v>
      </c>
      <c r="H7" s="413">
        <v>10560</v>
      </c>
      <c r="I7" s="425">
        <v>11976</v>
      </c>
      <c r="J7" s="403" t="s">
        <v>286</v>
      </c>
      <c r="K7" s="291">
        <v>31669</v>
      </c>
      <c r="L7" s="349">
        <v>12551</v>
      </c>
      <c r="M7" s="70">
        <v>9352</v>
      </c>
      <c r="N7" s="330">
        <v>12041</v>
      </c>
      <c r="O7" s="71">
        <v>14683</v>
      </c>
      <c r="P7" s="105">
        <v>48630</v>
      </c>
    </row>
    <row r="8" spans="2:16" ht="26.25" customHeight="1">
      <c r="B8" s="530"/>
      <c r="C8" s="527"/>
      <c r="D8" s="521"/>
      <c r="E8" s="514"/>
      <c r="F8" s="522"/>
      <c r="G8" s="427">
        <v>-0.27200000000000002</v>
      </c>
      <c r="H8" s="414">
        <v>0.129</v>
      </c>
      <c r="I8" s="423">
        <v>-5.0000000000000001E-3</v>
      </c>
      <c r="J8" s="404" t="s">
        <v>286</v>
      </c>
      <c r="K8" s="286">
        <v>-6.7000000000000004E-2</v>
      </c>
      <c r="L8" s="350">
        <v>0.48799999999999999</v>
      </c>
      <c r="M8" s="74">
        <v>-0.21</v>
      </c>
      <c r="N8" s="328">
        <v>9.1999999999999998E-2</v>
      </c>
      <c r="O8" s="75">
        <v>-8.2000000000000003E-2</v>
      </c>
      <c r="P8" s="76">
        <v>2.8000000000000001E-2</v>
      </c>
    </row>
    <row r="9" spans="2:16" ht="26.25" customHeight="1">
      <c r="B9" s="530"/>
      <c r="C9" s="527"/>
      <c r="D9" s="519" t="s">
        <v>19</v>
      </c>
      <c r="E9" s="512"/>
      <c r="F9" s="520"/>
      <c r="G9" s="287">
        <v>28308</v>
      </c>
      <c r="H9" s="413">
        <v>28415</v>
      </c>
      <c r="I9" s="425">
        <v>28318</v>
      </c>
      <c r="J9" s="403"/>
      <c r="K9" s="291">
        <v>85042</v>
      </c>
      <c r="L9" s="349">
        <v>27969</v>
      </c>
      <c r="M9" s="70">
        <v>28190</v>
      </c>
      <c r="N9" s="330">
        <v>27976</v>
      </c>
      <c r="O9" s="71">
        <v>28301</v>
      </c>
      <c r="P9" s="105">
        <v>112438</v>
      </c>
    </row>
    <row r="10" spans="2:16" ht="26.25" customHeight="1">
      <c r="B10" s="530"/>
      <c r="C10" s="527"/>
      <c r="D10" s="521"/>
      <c r="E10" s="514"/>
      <c r="F10" s="522"/>
      <c r="G10" s="345">
        <v>1.2E-2</v>
      </c>
      <c r="H10" s="414">
        <v>8.0000000000000002E-3</v>
      </c>
      <c r="I10" s="423">
        <v>1.2E-2</v>
      </c>
      <c r="J10" s="404"/>
      <c r="K10" s="286">
        <v>1.0999999999999999E-2</v>
      </c>
      <c r="L10" s="350">
        <v>3.5999999999999997E-2</v>
      </c>
      <c r="M10" s="74">
        <v>3.4000000000000002E-2</v>
      </c>
      <c r="N10" s="328">
        <v>1.6E-2</v>
      </c>
      <c r="O10" s="75">
        <v>0.02</v>
      </c>
      <c r="P10" s="76">
        <v>2.7E-2</v>
      </c>
    </row>
    <row r="11" spans="2:16" ht="26.25" customHeight="1">
      <c r="B11" s="530"/>
      <c r="C11" s="512" t="s">
        <v>20</v>
      </c>
      <c r="D11" s="512"/>
      <c r="E11" s="512"/>
      <c r="F11" s="520"/>
      <c r="G11" s="287">
        <v>37441</v>
      </c>
      <c r="H11" s="405">
        <v>38975</v>
      </c>
      <c r="I11" s="500">
        <v>40294</v>
      </c>
      <c r="J11" s="405" t="s">
        <v>286</v>
      </c>
      <c r="K11" s="291">
        <v>116711</v>
      </c>
      <c r="L11" s="349">
        <v>40521</v>
      </c>
      <c r="M11" s="73">
        <v>37543</v>
      </c>
      <c r="N11" s="373">
        <v>40018</v>
      </c>
      <c r="O11" s="73">
        <v>42985</v>
      </c>
      <c r="P11" s="72">
        <v>161068</v>
      </c>
    </row>
    <row r="12" spans="2:16" ht="26.25" customHeight="1">
      <c r="B12" s="530"/>
      <c r="C12" s="514"/>
      <c r="D12" s="514"/>
      <c r="E12" s="514"/>
      <c r="F12" s="522"/>
      <c r="G12" s="346" t="s">
        <v>288</v>
      </c>
      <c r="H12" s="404" t="s">
        <v>289</v>
      </c>
      <c r="I12" s="501">
        <v>7.0000000000000001E-3</v>
      </c>
      <c r="J12" s="404" t="s">
        <v>286</v>
      </c>
      <c r="K12" s="286" t="s">
        <v>126</v>
      </c>
      <c r="L12" s="352">
        <v>0.14399999999999999</v>
      </c>
      <c r="M12" s="75">
        <v>-0.04</v>
      </c>
      <c r="N12" s="374">
        <v>3.7999999999999999E-2</v>
      </c>
      <c r="O12" s="75">
        <v>-1.7000000000000001E-2</v>
      </c>
      <c r="P12" s="76">
        <v>2.7E-2</v>
      </c>
    </row>
    <row r="13" spans="2:16" ht="26.25" customHeight="1">
      <c r="B13" s="511" t="s">
        <v>21</v>
      </c>
      <c r="C13" s="516"/>
      <c r="D13" s="516"/>
      <c r="E13" s="516"/>
      <c r="F13" s="525"/>
      <c r="G13" s="287">
        <v>56539</v>
      </c>
      <c r="H13" s="405">
        <v>59007</v>
      </c>
      <c r="I13" s="500">
        <v>61803</v>
      </c>
      <c r="J13" s="405" t="s">
        <v>286</v>
      </c>
      <c r="K13" s="291">
        <v>177350</v>
      </c>
      <c r="L13" s="349">
        <v>54437</v>
      </c>
      <c r="M13" s="73">
        <v>51911</v>
      </c>
      <c r="N13" s="327">
        <v>56730</v>
      </c>
      <c r="O13" s="73">
        <v>59951</v>
      </c>
      <c r="P13" s="72">
        <v>223030</v>
      </c>
    </row>
    <row r="14" spans="2:16" ht="26.25" customHeight="1">
      <c r="B14" s="513"/>
      <c r="C14" s="514"/>
      <c r="D14" s="514"/>
      <c r="E14" s="514"/>
      <c r="F14" s="522"/>
      <c r="G14" s="345" t="s">
        <v>290</v>
      </c>
      <c r="H14" s="404" t="s">
        <v>37</v>
      </c>
      <c r="I14" s="501">
        <v>8.8999999999999996E-2</v>
      </c>
      <c r="J14" s="404" t="s">
        <v>286</v>
      </c>
      <c r="K14" s="286" t="s">
        <v>68</v>
      </c>
      <c r="L14" s="350">
        <v>0.13</v>
      </c>
      <c r="M14" s="75">
        <v>3.4000000000000002E-2</v>
      </c>
      <c r="N14" s="374">
        <v>0.128</v>
      </c>
      <c r="O14" s="75">
        <v>6.3E-2</v>
      </c>
      <c r="P14" s="76">
        <v>8.7999999999999995E-2</v>
      </c>
    </row>
    <row r="15" spans="2:16" ht="26.25" customHeight="1">
      <c r="B15" s="511" t="s">
        <v>22</v>
      </c>
      <c r="C15" s="512"/>
      <c r="D15" s="512"/>
      <c r="E15" s="512"/>
      <c r="F15" s="512"/>
      <c r="G15" s="287">
        <v>3463</v>
      </c>
      <c r="H15" s="413">
        <v>2994</v>
      </c>
      <c r="I15" s="420">
        <v>3662</v>
      </c>
      <c r="J15" s="403" t="s">
        <v>286</v>
      </c>
      <c r="K15" s="291">
        <v>10120</v>
      </c>
      <c r="L15" s="349">
        <v>3610</v>
      </c>
      <c r="M15" s="70">
        <v>3159</v>
      </c>
      <c r="N15" s="325">
        <v>4495</v>
      </c>
      <c r="O15" s="71">
        <v>4323</v>
      </c>
      <c r="P15" s="72">
        <v>15590</v>
      </c>
    </row>
    <row r="16" spans="2:16" ht="26.25" customHeight="1">
      <c r="B16" s="513"/>
      <c r="C16" s="514"/>
      <c r="D16" s="514"/>
      <c r="E16" s="514"/>
      <c r="F16" s="514"/>
      <c r="G16" s="345" t="s">
        <v>291</v>
      </c>
      <c r="H16" s="414" t="s">
        <v>292</v>
      </c>
      <c r="I16" s="421">
        <v>-0.185</v>
      </c>
      <c r="J16" s="404" t="s">
        <v>286</v>
      </c>
      <c r="K16" s="286" t="s">
        <v>293</v>
      </c>
      <c r="L16" s="350" t="s">
        <v>23</v>
      </c>
      <c r="M16" s="74" t="s">
        <v>24</v>
      </c>
      <c r="N16" s="326" t="s">
        <v>25</v>
      </c>
      <c r="O16" s="75" t="s">
        <v>26</v>
      </c>
      <c r="P16" s="76" t="s">
        <v>27</v>
      </c>
    </row>
    <row r="17" spans="2:16" ht="26.25" customHeight="1">
      <c r="B17" s="515" t="s">
        <v>28</v>
      </c>
      <c r="C17" s="516"/>
      <c r="D17" s="516"/>
      <c r="E17" s="516"/>
      <c r="F17" s="516"/>
      <c r="G17" s="287">
        <v>6272</v>
      </c>
      <c r="H17" s="413">
        <v>6399</v>
      </c>
      <c r="I17" s="420">
        <v>6527</v>
      </c>
      <c r="J17" s="403" t="s">
        <v>286</v>
      </c>
      <c r="K17" s="291">
        <v>19200</v>
      </c>
      <c r="L17" s="349">
        <v>5867</v>
      </c>
      <c r="M17" s="70">
        <v>6308</v>
      </c>
      <c r="N17" s="325">
        <v>6371</v>
      </c>
      <c r="O17" s="71">
        <v>6343</v>
      </c>
      <c r="P17" s="72">
        <v>24890</v>
      </c>
    </row>
    <row r="18" spans="2:16" ht="26.25" customHeight="1">
      <c r="B18" s="513"/>
      <c r="C18" s="514"/>
      <c r="D18" s="514"/>
      <c r="E18" s="514"/>
      <c r="F18" s="514"/>
      <c r="G18" s="345" t="s">
        <v>294</v>
      </c>
      <c r="H18" s="414" t="s">
        <v>165</v>
      </c>
      <c r="I18" s="421">
        <v>2.5000000000000001E-2</v>
      </c>
      <c r="J18" s="404" t="s">
        <v>286</v>
      </c>
      <c r="K18" s="286" t="s">
        <v>295</v>
      </c>
      <c r="L18" s="350" t="s">
        <v>29</v>
      </c>
      <c r="M18" s="74" t="s">
        <v>30</v>
      </c>
      <c r="N18" s="326" t="s">
        <v>31</v>
      </c>
      <c r="O18" s="75" t="s">
        <v>32</v>
      </c>
      <c r="P18" s="76" t="s">
        <v>33</v>
      </c>
    </row>
    <row r="19" spans="2:16" ht="26.25" customHeight="1">
      <c r="B19" s="515" t="s">
        <v>34</v>
      </c>
      <c r="C19" s="516"/>
      <c r="D19" s="516"/>
      <c r="E19" s="516"/>
      <c r="F19" s="516"/>
      <c r="G19" s="287">
        <v>66275</v>
      </c>
      <c r="H19" s="413">
        <v>68401</v>
      </c>
      <c r="I19" s="420">
        <v>71993</v>
      </c>
      <c r="J19" s="403" t="s">
        <v>286</v>
      </c>
      <c r="K19" s="291">
        <v>206670</v>
      </c>
      <c r="L19" s="349">
        <v>63915</v>
      </c>
      <c r="M19" s="70">
        <v>61379</v>
      </c>
      <c r="N19" s="325">
        <v>67597</v>
      </c>
      <c r="O19" s="71">
        <v>70618</v>
      </c>
      <c r="P19" s="105">
        <v>263510</v>
      </c>
    </row>
    <row r="20" spans="2:16" ht="26.25" customHeight="1" thickBot="1">
      <c r="B20" s="517"/>
      <c r="C20" s="518"/>
      <c r="D20" s="518"/>
      <c r="E20" s="518"/>
      <c r="F20" s="518"/>
      <c r="G20" s="347" t="s">
        <v>296</v>
      </c>
      <c r="H20" s="415" t="s">
        <v>35</v>
      </c>
      <c r="I20" s="424">
        <v>6.5000000000000002E-2</v>
      </c>
      <c r="J20" s="408" t="s">
        <v>286</v>
      </c>
      <c r="K20" s="297" t="s">
        <v>297</v>
      </c>
      <c r="L20" s="353" t="s">
        <v>35</v>
      </c>
      <c r="M20" s="78" t="s">
        <v>36</v>
      </c>
      <c r="N20" s="329" t="s">
        <v>37</v>
      </c>
      <c r="O20" s="79" t="s">
        <v>38</v>
      </c>
      <c r="P20" s="80" t="s">
        <v>39</v>
      </c>
    </row>
    <row r="21" spans="2:16" ht="83.65" customHeight="1">
      <c r="B21" s="523" t="s">
        <v>40</v>
      </c>
      <c r="C21" s="523"/>
      <c r="D21" s="523"/>
      <c r="E21" s="523"/>
      <c r="F21" s="523"/>
      <c r="G21" s="523"/>
      <c r="H21" s="523"/>
      <c r="I21" s="523"/>
      <c r="J21" s="523"/>
      <c r="K21" s="523"/>
      <c r="L21" s="523"/>
      <c r="M21" s="523"/>
      <c r="N21" s="523"/>
      <c r="O21" s="523"/>
      <c r="P21" s="523"/>
    </row>
    <row r="22" spans="2:16" ht="23.65" customHeight="1" thickBot="1">
      <c r="B22" s="69" t="s">
        <v>41</v>
      </c>
      <c r="C22" s="69"/>
      <c r="H22" s="399"/>
      <c r="I22" s="399"/>
      <c r="J22" s="399"/>
    </row>
    <row r="23" spans="2:16" ht="26.25" customHeight="1">
      <c r="B23" s="506"/>
      <c r="C23" s="507"/>
      <c r="D23" s="508"/>
      <c r="E23" s="508"/>
      <c r="F23" s="508"/>
      <c r="G23" s="278"/>
      <c r="H23" s="400"/>
      <c r="I23" s="401">
        <v>46143</v>
      </c>
      <c r="J23" s="400"/>
      <c r="K23" s="281"/>
      <c r="L23" s="98"/>
      <c r="M23" s="61"/>
      <c r="N23" s="398">
        <v>45778</v>
      </c>
      <c r="O23" s="61"/>
      <c r="P23" s="62"/>
    </row>
    <row r="24" spans="2:16" ht="26.25" customHeight="1" thickBot="1">
      <c r="B24" s="509"/>
      <c r="C24" s="510"/>
      <c r="D24" s="510"/>
      <c r="E24" s="510"/>
      <c r="F24" s="510"/>
      <c r="G24" s="344" t="s">
        <v>12</v>
      </c>
      <c r="H24" s="402" t="s">
        <v>13</v>
      </c>
      <c r="I24" s="502" t="s">
        <v>14</v>
      </c>
      <c r="J24" s="402" t="s">
        <v>15</v>
      </c>
      <c r="K24" s="283" t="s">
        <v>16</v>
      </c>
      <c r="L24" s="100" t="s">
        <v>12</v>
      </c>
      <c r="M24" s="63" t="s">
        <v>13</v>
      </c>
      <c r="N24" s="372" t="s">
        <v>14</v>
      </c>
      <c r="O24" s="63" t="s">
        <v>15</v>
      </c>
      <c r="P24" s="67" t="s">
        <v>16</v>
      </c>
    </row>
    <row r="25" spans="2:16" s="65" customFormat="1" ht="26.25" customHeight="1">
      <c r="B25" s="511" t="s">
        <v>21</v>
      </c>
      <c r="C25" s="512"/>
      <c r="D25" s="512"/>
      <c r="E25" s="512"/>
      <c r="F25" s="512"/>
      <c r="G25" s="287">
        <v>21159</v>
      </c>
      <c r="H25" s="403">
        <v>21539</v>
      </c>
      <c r="I25" s="500">
        <v>23612</v>
      </c>
      <c r="J25" s="403" t="s">
        <v>286</v>
      </c>
      <c r="K25" s="290">
        <v>66311</v>
      </c>
      <c r="L25" s="64">
        <v>21997</v>
      </c>
      <c r="M25" s="71">
        <v>19233</v>
      </c>
      <c r="N25" s="373">
        <v>21966</v>
      </c>
      <c r="O25" s="71">
        <v>22474</v>
      </c>
      <c r="P25" s="72">
        <v>85673</v>
      </c>
    </row>
    <row r="26" spans="2:16" s="65" customFormat="1" ht="26.25" customHeight="1">
      <c r="B26" s="513"/>
      <c r="C26" s="514"/>
      <c r="D26" s="514"/>
      <c r="E26" s="514"/>
      <c r="F26" s="514"/>
      <c r="G26" s="345" t="s">
        <v>298</v>
      </c>
      <c r="H26" s="404" t="s">
        <v>299</v>
      </c>
      <c r="I26" s="501">
        <v>7.4999999999999997E-2</v>
      </c>
      <c r="J26" s="404" t="s">
        <v>286</v>
      </c>
      <c r="K26" s="286" t="s">
        <v>300</v>
      </c>
      <c r="L26" s="101" t="s">
        <v>42</v>
      </c>
      <c r="M26" s="75" t="s">
        <v>43</v>
      </c>
      <c r="N26" s="374" t="s">
        <v>44</v>
      </c>
      <c r="O26" s="75" t="s">
        <v>45</v>
      </c>
      <c r="P26" s="76" t="s">
        <v>46</v>
      </c>
    </row>
    <row r="27" spans="2:16" s="65" customFormat="1" ht="26.25" customHeight="1">
      <c r="B27" s="535" t="s">
        <v>22</v>
      </c>
      <c r="C27" s="536"/>
      <c r="D27" s="536"/>
      <c r="E27" s="536"/>
      <c r="F27" s="536"/>
      <c r="G27" s="354">
        <v>124</v>
      </c>
      <c r="H27" s="405">
        <v>99</v>
      </c>
      <c r="I27" s="422">
        <v>112</v>
      </c>
      <c r="J27" s="405" t="s">
        <v>286</v>
      </c>
      <c r="K27" s="290">
        <v>336</v>
      </c>
      <c r="L27" s="358">
        <v>134</v>
      </c>
      <c r="M27" s="73">
        <v>106</v>
      </c>
      <c r="N27" s="327">
        <v>150</v>
      </c>
      <c r="O27" s="73">
        <v>177</v>
      </c>
      <c r="P27" s="81">
        <v>569</v>
      </c>
    </row>
    <row r="28" spans="2:16" s="65" customFormat="1" ht="26.25" customHeight="1">
      <c r="B28" s="537"/>
      <c r="C28" s="538"/>
      <c r="D28" s="538"/>
      <c r="E28" s="538"/>
      <c r="F28" s="538"/>
      <c r="G28" s="346" t="s">
        <v>301</v>
      </c>
      <c r="H28" s="404" t="s">
        <v>302</v>
      </c>
      <c r="I28" s="423">
        <v>-0.254</v>
      </c>
      <c r="J28" s="404" t="s">
        <v>286</v>
      </c>
      <c r="K28" s="298" t="s">
        <v>303</v>
      </c>
      <c r="L28" s="359" t="s">
        <v>47</v>
      </c>
      <c r="M28" s="75" t="s">
        <v>48</v>
      </c>
      <c r="N28" s="328" t="s">
        <v>49</v>
      </c>
      <c r="O28" s="75" t="s">
        <v>50</v>
      </c>
      <c r="P28" s="82" t="s">
        <v>51</v>
      </c>
    </row>
    <row r="29" spans="2:16" s="65" customFormat="1" ht="26.25" customHeight="1">
      <c r="B29" s="535" t="s">
        <v>28</v>
      </c>
      <c r="C29" s="536"/>
      <c r="D29" s="536"/>
      <c r="E29" s="536"/>
      <c r="F29" s="536"/>
      <c r="G29" s="354">
        <v>1350</v>
      </c>
      <c r="H29" s="405">
        <v>1569</v>
      </c>
      <c r="I29" s="422">
        <v>1587</v>
      </c>
      <c r="J29" s="405" t="s">
        <v>286</v>
      </c>
      <c r="K29" s="290">
        <v>4506</v>
      </c>
      <c r="L29" s="358">
        <v>1302</v>
      </c>
      <c r="M29" s="73">
        <v>1428</v>
      </c>
      <c r="N29" s="327">
        <v>1421</v>
      </c>
      <c r="O29" s="73">
        <v>1691</v>
      </c>
      <c r="P29" s="81">
        <v>5844</v>
      </c>
    </row>
    <row r="30" spans="2:16" s="65" customFormat="1" ht="26.25" customHeight="1">
      <c r="B30" s="537"/>
      <c r="C30" s="538"/>
      <c r="D30" s="538"/>
      <c r="E30" s="538"/>
      <c r="F30" s="538"/>
      <c r="G30" s="346" t="s">
        <v>304</v>
      </c>
      <c r="H30" s="404" t="s">
        <v>305</v>
      </c>
      <c r="I30" s="423">
        <v>0.11700000000000001</v>
      </c>
      <c r="J30" s="404" t="s">
        <v>286</v>
      </c>
      <c r="K30" s="298" t="s">
        <v>306</v>
      </c>
      <c r="L30" s="359" t="s">
        <v>52</v>
      </c>
      <c r="M30" s="75" t="s">
        <v>53</v>
      </c>
      <c r="N30" s="328" t="s">
        <v>54</v>
      </c>
      <c r="O30" s="75" t="s">
        <v>55</v>
      </c>
      <c r="P30" s="82" t="s">
        <v>56</v>
      </c>
    </row>
    <row r="31" spans="2:16" ht="26.25" customHeight="1">
      <c r="B31" s="515" t="s">
        <v>57</v>
      </c>
      <c r="C31" s="516"/>
      <c r="D31" s="516"/>
      <c r="E31" s="516"/>
      <c r="F31" s="516"/>
      <c r="G31" s="355">
        <v>-1505</v>
      </c>
      <c r="H31" s="406">
        <v>-1677</v>
      </c>
      <c r="I31" s="456">
        <v>-947</v>
      </c>
      <c r="J31" s="406" t="s">
        <v>286</v>
      </c>
      <c r="K31" s="300">
        <v>-4130</v>
      </c>
      <c r="L31" s="360">
        <v>-1241</v>
      </c>
      <c r="M31" s="90">
        <v>-1049</v>
      </c>
      <c r="N31" s="331">
        <v>-1232</v>
      </c>
      <c r="O31" s="90">
        <v>-1731</v>
      </c>
      <c r="P31" s="91">
        <v>-5255</v>
      </c>
    </row>
    <row r="32" spans="2:16" ht="26.25" customHeight="1">
      <c r="B32" s="513"/>
      <c r="C32" s="514"/>
      <c r="D32" s="514"/>
      <c r="E32" s="514"/>
      <c r="F32" s="514"/>
      <c r="G32" s="356" t="s">
        <v>307</v>
      </c>
      <c r="H32" s="407" t="s">
        <v>308</v>
      </c>
      <c r="I32" s="457">
        <v>-0.23100000000000001</v>
      </c>
      <c r="J32" s="407" t="s">
        <v>286</v>
      </c>
      <c r="K32" s="301" t="s">
        <v>309</v>
      </c>
      <c r="L32" s="361" t="s">
        <v>58</v>
      </c>
      <c r="M32" s="77" t="s">
        <v>59</v>
      </c>
      <c r="N32" s="332" t="s">
        <v>60</v>
      </c>
      <c r="O32" s="77" t="s">
        <v>61</v>
      </c>
      <c r="P32" s="83" t="s">
        <v>62</v>
      </c>
    </row>
    <row r="33" spans="1:16" ht="26.25" customHeight="1">
      <c r="B33" s="515" t="s">
        <v>63</v>
      </c>
      <c r="C33" s="516"/>
      <c r="D33" s="516"/>
      <c r="E33" s="516"/>
      <c r="F33" s="516"/>
      <c r="G33" s="354">
        <v>21128</v>
      </c>
      <c r="H33" s="405">
        <v>21531</v>
      </c>
      <c r="I33" s="422">
        <v>24364</v>
      </c>
      <c r="J33" s="405" t="s">
        <v>286</v>
      </c>
      <c r="K33" s="302">
        <v>67023</v>
      </c>
      <c r="L33" s="358">
        <v>22194</v>
      </c>
      <c r="M33" s="73">
        <v>19718</v>
      </c>
      <c r="N33" s="327">
        <v>22306</v>
      </c>
      <c r="O33" s="73">
        <v>22612</v>
      </c>
      <c r="P33" s="81">
        <v>86832</v>
      </c>
    </row>
    <row r="34" spans="1:16" s="65" customFormat="1" ht="26.25" customHeight="1" thickBot="1">
      <c r="B34" s="517"/>
      <c r="C34" s="518"/>
      <c r="D34" s="518"/>
      <c r="E34" s="518"/>
      <c r="F34" s="518"/>
      <c r="G34" s="357" t="s">
        <v>310</v>
      </c>
      <c r="H34" s="408" t="s">
        <v>311</v>
      </c>
      <c r="I34" s="458">
        <v>9.1999999999999998E-2</v>
      </c>
      <c r="J34" s="408" t="s">
        <v>286</v>
      </c>
      <c r="K34" s="303" t="s">
        <v>38</v>
      </c>
      <c r="L34" s="362" t="s">
        <v>64</v>
      </c>
      <c r="M34" s="79" t="s">
        <v>65</v>
      </c>
      <c r="N34" s="333" t="s">
        <v>66</v>
      </c>
      <c r="O34" s="79" t="s">
        <v>67</v>
      </c>
      <c r="P34" s="84" t="s">
        <v>68</v>
      </c>
    </row>
    <row r="35" spans="1:16" ht="50.25" customHeight="1" thickBot="1">
      <c r="A35" s="85"/>
      <c r="B35" s="86" t="s">
        <v>69</v>
      </c>
      <c r="C35" s="86"/>
      <c r="D35" s="85"/>
      <c r="E35" s="85"/>
      <c r="F35" s="85"/>
      <c r="I35" s="397"/>
      <c r="N35" s="397"/>
    </row>
    <row r="36" spans="1:16" ht="28.5" customHeight="1">
      <c r="A36" s="85"/>
      <c r="B36" s="531"/>
      <c r="C36" s="532"/>
      <c r="D36" s="532"/>
      <c r="E36" s="532"/>
      <c r="F36" s="532"/>
      <c r="G36" s="278"/>
      <c r="H36" s="409"/>
      <c r="I36" s="410">
        <v>46143</v>
      </c>
      <c r="J36" s="409"/>
      <c r="K36" s="281"/>
      <c r="L36" s="68"/>
      <c r="M36" s="98"/>
      <c r="N36" s="398">
        <v>45778</v>
      </c>
      <c r="O36" s="98"/>
      <c r="P36" s="62"/>
    </row>
    <row r="37" spans="1:16" ht="28.5" customHeight="1" thickBot="1">
      <c r="A37" s="85"/>
      <c r="B37" s="533"/>
      <c r="C37" s="534"/>
      <c r="D37" s="534"/>
      <c r="E37" s="534"/>
      <c r="F37" s="534"/>
      <c r="G37" s="344" t="s">
        <v>12</v>
      </c>
      <c r="H37" s="402" t="s">
        <v>13</v>
      </c>
      <c r="I37" s="502" t="s">
        <v>14</v>
      </c>
      <c r="J37" s="402" t="s">
        <v>15</v>
      </c>
      <c r="K37" s="283" t="s">
        <v>16</v>
      </c>
      <c r="L37" s="348" t="s">
        <v>12</v>
      </c>
      <c r="M37" s="63" t="s">
        <v>13</v>
      </c>
      <c r="N37" s="372" t="s">
        <v>14</v>
      </c>
      <c r="O37" s="63" t="s">
        <v>15</v>
      </c>
      <c r="P37" s="67" t="s">
        <v>16</v>
      </c>
    </row>
    <row r="38" spans="1:16" ht="33.75" customHeight="1">
      <c r="A38" s="85"/>
      <c r="B38" s="89" t="s">
        <v>70</v>
      </c>
      <c r="C38" s="188"/>
      <c r="D38" s="87"/>
      <c r="E38" s="87"/>
      <c r="F38" s="102"/>
      <c r="G38" s="363">
        <v>26151</v>
      </c>
      <c r="H38" s="411">
        <v>27381</v>
      </c>
      <c r="I38" s="426">
        <v>28723</v>
      </c>
      <c r="J38" s="411" t="s">
        <v>286</v>
      </c>
      <c r="K38" s="319">
        <v>82256</v>
      </c>
      <c r="L38" s="365">
        <v>24089</v>
      </c>
      <c r="M38" s="88">
        <v>23342</v>
      </c>
      <c r="N38" s="341">
        <v>25684</v>
      </c>
      <c r="O38" s="88">
        <v>27235</v>
      </c>
      <c r="P38" s="103">
        <v>100350</v>
      </c>
    </row>
    <row r="39" spans="1:16" ht="33.75" customHeight="1">
      <c r="A39" s="85"/>
      <c r="B39" s="89" t="s">
        <v>71</v>
      </c>
      <c r="C39" s="188"/>
      <c r="D39" s="87"/>
      <c r="E39" s="87"/>
      <c r="F39" s="102"/>
      <c r="G39" s="363">
        <v>3014</v>
      </c>
      <c r="H39" s="411">
        <v>2641</v>
      </c>
      <c r="I39" s="426">
        <v>3225</v>
      </c>
      <c r="J39" s="411" t="s">
        <v>286</v>
      </c>
      <c r="K39" s="319">
        <v>8880</v>
      </c>
      <c r="L39" s="365">
        <v>3093</v>
      </c>
      <c r="M39" s="88">
        <v>2672</v>
      </c>
      <c r="N39" s="341">
        <v>3907</v>
      </c>
      <c r="O39" s="88">
        <v>3738</v>
      </c>
      <c r="P39" s="103">
        <v>13412</v>
      </c>
    </row>
    <row r="40" spans="1:16" ht="33.75" customHeight="1">
      <c r="A40" s="85"/>
      <c r="B40" s="89" t="s">
        <v>72</v>
      </c>
      <c r="C40" s="188"/>
      <c r="D40" s="87"/>
      <c r="E40" s="87"/>
      <c r="F40" s="102"/>
      <c r="G40" s="363">
        <v>8505</v>
      </c>
      <c r="H40" s="411">
        <v>8945</v>
      </c>
      <c r="I40" s="426">
        <v>8175</v>
      </c>
      <c r="J40" s="411" t="s">
        <v>286</v>
      </c>
      <c r="K40" s="319">
        <v>25626</v>
      </c>
      <c r="L40" s="365">
        <v>7637</v>
      </c>
      <c r="M40" s="88">
        <v>8102</v>
      </c>
      <c r="N40" s="341">
        <v>8820</v>
      </c>
      <c r="O40" s="88">
        <v>8682</v>
      </c>
      <c r="P40" s="103">
        <v>33241</v>
      </c>
    </row>
    <row r="41" spans="1:16" ht="33.75" customHeight="1">
      <c r="A41" s="85"/>
      <c r="B41" s="89" t="s">
        <v>73</v>
      </c>
      <c r="C41" s="188"/>
      <c r="D41" s="87"/>
      <c r="E41" s="87"/>
      <c r="F41" s="102"/>
      <c r="G41" s="363">
        <v>5516</v>
      </c>
      <c r="H41" s="411">
        <v>5991</v>
      </c>
      <c r="I41" s="426">
        <v>5576</v>
      </c>
      <c r="J41" s="411" t="s">
        <v>286</v>
      </c>
      <c r="K41" s="319">
        <v>17085</v>
      </c>
      <c r="L41" s="365">
        <v>4910</v>
      </c>
      <c r="M41" s="88">
        <v>5694</v>
      </c>
      <c r="N41" s="341">
        <v>4797</v>
      </c>
      <c r="O41" s="88">
        <v>6192</v>
      </c>
      <c r="P41" s="103">
        <v>21595</v>
      </c>
    </row>
    <row r="42" spans="1:16" ht="33.75" customHeight="1">
      <c r="A42" s="85"/>
      <c r="B42" s="89" t="s">
        <v>74</v>
      </c>
      <c r="C42" s="188"/>
      <c r="D42" s="87"/>
      <c r="E42" s="87"/>
      <c r="F42" s="102"/>
      <c r="G42" s="363">
        <v>601</v>
      </c>
      <c r="H42" s="411">
        <v>531</v>
      </c>
      <c r="I42" s="426">
        <v>624</v>
      </c>
      <c r="J42" s="411" t="s">
        <v>286</v>
      </c>
      <c r="K42" s="319">
        <v>1757</v>
      </c>
      <c r="L42" s="365">
        <v>526</v>
      </c>
      <c r="M42" s="88">
        <v>547</v>
      </c>
      <c r="N42" s="341">
        <v>548</v>
      </c>
      <c r="O42" s="88">
        <v>604</v>
      </c>
      <c r="P42" s="103">
        <v>2227</v>
      </c>
    </row>
    <row r="43" spans="1:16" ht="33.75" customHeight="1">
      <c r="A43" s="85"/>
      <c r="B43" s="89" t="s">
        <v>75</v>
      </c>
      <c r="C43" s="188"/>
      <c r="D43" s="87"/>
      <c r="E43" s="87"/>
      <c r="F43" s="102"/>
      <c r="G43" s="363">
        <v>1357</v>
      </c>
      <c r="H43" s="411">
        <v>1378</v>
      </c>
      <c r="I43" s="426">
        <v>1304</v>
      </c>
      <c r="J43" s="411" t="s">
        <v>286</v>
      </c>
      <c r="K43" s="319">
        <v>4040</v>
      </c>
      <c r="L43" s="365">
        <v>1463</v>
      </c>
      <c r="M43" s="88">
        <v>1301</v>
      </c>
      <c r="N43" s="341">
        <v>1532</v>
      </c>
      <c r="O43" s="88">
        <v>1552</v>
      </c>
      <c r="P43" s="103">
        <v>5850</v>
      </c>
    </row>
    <row r="44" spans="1:16" ht="33.75" customHeight="1" thickBot="1">
      <c r="A44" s="85"/>
      <c r="B44" s="92" t="s">
        <v>76</v>
      </c>
      <c r="C44" s="189"/>
      <c r="D44" s="93"/>
      <c r="E44" s="310"/>
      <c r="F44" s="311"/>
      <c r="G44" s="364">
        <v>45147</v>
      </c>
      <c r="H44" s="412">
        <v>46870</v>
      </c>
      <c r="I44" s="459">
        <v>47628</v>
      </c>
      <c r="J44" s="412" t="s">
        <v>286</v>
      </c>
      <c r="K44" s="307">
        <v>139647</v>
      </c>
      <c r="L44" s="366">
        <v>41721</v>
      </c>
      <c r="M44" s="94">
        <v>41660</v>
      </c>
      <c r="N44" s="342">
        <v>45290</v>
      </c>
      <c r="O44" s="94">
        <v>48006</v>
      </c>
      <c r="P44" s="104">
        <v>176678</v>
      </c>
    </row>
    <row r="45" spans="1:16">
      <c r="B45" s="4" t="s">
        <v>77</v>
      </c>
      <c r="C45" s="4"/>
      <c r="N45" s="397"/>
    </row>
    <row r="46" spans="1:16" ht="15.4" customHeight="1" thickBot="1">
      <c r="A46" s="85"/>
      <c r="B46" s="86"/>
      <c r="C46" s="86"/>
      <c r="D46" s="85"/>
      <c r="E46" s="85"/>
      <c r="F46" s="85"/>
    </row>
    <row r="47" spans="1:16" ht="28.5" customHeight="1">
      <c r="A47" s="85"/>
      <c r="B47" s="531"/>
      <c r="C47" s="532"/>
      <c r="D47" s="532"/>
      <c r="E47" s="532"/>
      <c r="F47" s="532"/>
      <c r="G47" s="278"/>
      <c r="H47" s="304"/>
      <c r="I47" s="280">
        <v>46143</v>
      </c>
      <c r="J47" s="304"/>
      <c r="K47" s="281"/>
      <c r="L47" s="68"/>
      <c r="M47" s="98"/>
      <c r="N47" s="66">
        <v>45778</v>
      </c>
      <c r="O47" s="98"/>
      <c r="P47" s="62"/>
    </row>
    <row r="48" spans="1:16" ht="28.5" customHeight="1" thickBot="1">
      <c r="A48" s="85"/>
      <c r="B48" s="533"/>
      <c r="C48" s="534"/>
      <c r="D48" s="534"/>
      <c r="E48" s="534"/>
      <c r="F48" s="534"/>
      <c r="G48" s="344" t="s">
        <v>12</v>
      </c>
      <c r="H48" s="282" t="s">
        <v>13</v>
      </c>
      <c r="I48" s="370" t="s">
        <v>14</v>
      </c>
      <c r="J48" s="282" t="s">
        <v>15</v>
      </c>
      <c r="K48" s="283"/>
      <c r="L48" s="348" t="s">
        <v>12</v>
      </c>
      <c r="M48" s="63" t="s">
        <v>13</v>
      </c>
      <c r="N48" s="372" t="s">
        <v>14</v>
      </c>
      <c r="O48" s="63" t="s">
        <v>15</v>
      </c>
      <c r="P48" s="67"/>
    </row>
    <row r="49" spans="1:16" ht="33.75" customHeight="1" thickBot="1">
      <c r="A49" s="85"/>
      <c r="B49" s="312" t="s">
        <v>78</v>
      </c>
      <c r="C49" s="313"/>
      <c r="D49" s="314"/>
      <c r="E49" s="314"/>
      <c r="F49" s="315"/>
      <c r="G49" s="367">
        <v>2270</v>
      </c>
      <c r="H49" s="316">
        <v>2236</v>
      </c>
      <c r="I49" s="340">
        <v>2128</v>
      </c>
      <c r="J49" s="316"/>
      <c r="K49" s="317" t="s">
        <v>79</v>
      </c>
      <c r="L49" s="368">
        <v>2245</v>
      </c>
      <c r="M49" s="318">
        <v>2254</v>
      </c>
      <c r="N49" s="343">
        <v>2250</v>
      </c>
      <c r="O49" s="318">
        <v>2258</v>
      </c>
      <c r="P49" s="317" t="s">
        <v>79</v>
      </c>
    </row>
    <row r="50" spans="1:16">
      <c r="N50" s="397"/>
    </row>
  </sheetData>
  <mergeCells count="20">
    <mergeCell ref="B47:F48"/>
    <mergeCell ref="B36:F37"/>
    <mergeCell ref="B27:F28"/>
    <mergeCell ref="B23:F24"/>
    <mergeCell ref="B33:F34"/>
    <mergeCell ref="B31:F32"/>
    <mergeCell ref="B29:F30"/>
    <mergeCell ref="B3:F4"/>
    <mergeCell ref="B25:F26"/>
    <mergeCell ref="B19:F20"/>
    <mergeCell ref="B17:F18"/>
    <mergeCell ref="B15:F16"/>
    <mergeCell ref="D9:F10"/>
    <mergeCell ref="B21:P21"/>
    <mergeCell ref="D7:F8"/>
    <mergeCell ref="C7:C10"/>
    <mergeCell ref="C11:F12"/>
    <mergeCell ref="B13:F14"/>
    <mergeCell ref="C5:F6"/>
    <mergeCell ref="B5:B12"/>
  </mergeCells>
  <phoneticPr fontId="2"/>
  <printOptions horizontalCentered="1" verticalCentered="1"/>
  <pageMargins left="0.23622047244094499" right="0.196850393700787" top="0.27559055118110198" bottom="0.31496062992126" header="0.511811023622047" footer="0.15748031496063"/>
  <pageSetup paperSize="9" scale="39" orientation="landscape" r:id="rId1"/>
  <headerFooter alignWithMargins="0"/>
  <rowBreaks count="1" manualBreakCount="1">
    <brk id="10" max="16383" man="1"/>
  </rowBreaks>
  <ignoredErrors>
    <ignoredError sqref="L16:P20 L33:P33 L26:P32 L34:P34 G25:K34 G5:K2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57" zoomScaleNormal="75" zoomScaleSheetLayoutView="57" workbookViewId="0"/>
  </sheetViews>
  <sheetFormatPr defaultColWidth="8.59765625" defaultRowHeight="20.25" customHeight="1"/>
  <cols>
    <col min="1" max="1" width="2.59765625" style="13" customWidth="1"/>
    <col min="2" max="2" width="3.59765625" style="14" customWidth="1"/>
    <col min="3" max="3" width="42.86328125" style="13" customWidth="1"/>
    <col min="4" max="4" width="82.86328125" style="13" customWidth="1"/>
    <col min="5" max="5" width="6" style="13" customWidth="1"/>
    <col min="6" max="10" width="11.59765625" style="13" customWidth="1"/>
    <col min="11" max="11" width="3.59765625" style="13" customWidth="1"/>
    <col min="12" max="16384" width="8.59765625" style="13"/>
  </cols>
  <sheetData>
    <row r="1" spans="1:12" ht="21.75" customHeight="1">
      <c r="A1" s="9"/>
      <c r="B1" s="10" t="s">
        <v>80</v>
      </c>
      <c r="C1" s="11"/>
      <c r="D1" s="11"/>
      <c r="E1" s="12"/>
      <c r="F1" s="12"/>
      <c r="G1" s="12"/>
      <c r="H1" s="12"/>
      <c r="I1" s="12"/>
      <c r="J1" s="12"/>
      <c r="K1" s="12"/>
      <c r="L1" s="12"/>
    </row>
    <row r="3" spans="1:12" ht="20.25" customHeight="1">
      <c r="B3" s="14" t="s">
        <v>81</v>
      </c>
      <c r="C3" s="13" t="s">
        <v>82</v>
      </c>
      <c r="D3" s="13" t="s">
        <v>83</v>
      </c>
      <c r="E3" s="13" t="s">
        <v>84</v>
      </c>
      <c r="L3" s="15"/>
    </row>
    <row r="4" spans="1:12" ht="23.65" customHeight="1">
      <c r="C4" s="13" t="s">
        <v>85</v>
      </c>
      <c r="D4" s="13" t="s">
        <v>86</v>
      </c>
      <c r="E4" s="13" t="s">
        <v>87</v>
      </c>
      <c r="L4" s="15" t="s">
        <v>88</v>
      </c>
    </row>
    <row r="6" spans="1:12" ht="20.25" customHeight="1">
      <c r="B6" s="14" t="s">
        <v>81</v>
      </c>
      <c r="C6" s="13" t="s">
        <v>89</v>
      </c>
      <c r="D6" s="13" t="s">
        <v>90</v>
      </c>
    </row>
    <row r="7" spans="1:12" ht="21.75">
      <c r="C7" s="13" t="s">
        <v>91</v>
      </c>
      <c r="D7" s="13" t="s">
        <v>92</v>
      </c>
    </row>
    <row r="9" spans="1:12" ht="20.25" customHeight="1">
      <c r="B9" s="14" t="s">
        <v>81</v>
      </c>
      <c r="C9" s="13" t="s">
        <v>93</v>
      </c>
      <c r="D9" s="107">
        <v>25248</v>
      </c>
    </row>
    <row r="10" spans="1:12" ht="20.25" customHeight="1">
      <c r="C10" s="13" t="s">
        <v>94</v>
      </c>
      <c r="D10" s="56"/>
    </row>
    <row r="12" spans="1:12" ht="20.25" customHeight="1">
      <c r="B12" s="14" t="s">
        <v>81</v>
      </c>
      <c r="C12" s="13" t="s">
        <v>95</v>
      </c>
      <c r="D12" s="13" t="s">
        <v>96</v>
      </c>
    </row>
    <row r="13" spans="1:12" ht="20.25" customHeight="1">
      <c r="C13" s="13" t="s">
        <v>97</v>
      </c>
      <c r="D13" s="13" t="s">
        <v>98</v>
      </c>
    </row>
    <row r="15" spans="1:12" ht="20.25" customHeight="1">
      <c r="B15" s="14" t="s">
        <v>81</v>
      </c>
      <c r="C15" s="13" t="s">
        <v>99</v>
      </c>
      <c r="D15" s="108">
        <v>2128</v>
      </c>
      <c r="E15" s="13" t="s">
        <v>100</v>
      </c>
    </row>
    <row r="16" spans="1:12" ht="20.25" customHeight="1">
      <c r="C16" s="13" t="s">
        <v>101</v>
      </c>
      <c r="D16" s="21"/>
    </row>
    <row r="18" spans="2:6" ht="20.25" customHeight="1">
      <c r="B18" s="14" t="s">
        <v>81</v>
      </c>
      <c r="C18" s="13" t="s">
        <v>102</v>
      </c>
      <c r="D18" s="13" t="s">
        <v>103</v>
      </c>
    </row>
    <row r="19" spans="2:6" ht="20.25" customHeight="1">
      <c r="C19" s="13" t="s">
        <v>104</v>
      </c>
      <c r="D19" s="13" t="s">
        <v>105</v>
      </c>
    </row>
    <row r="20" spans="2:6" ht="21.75">
      <c r="D20" s="13" t="s">
        <v>106</v>
      </c>
      <c r="E20" s="14"/>
    </row>
    <row r="21" spans="2:6" ht="21.75" customHeight="1">
      <c r="D21" s="13" t="s">
        <v>107</v>
      </c>
    </row>
    <row r="22" spans="2:6" ht="20.25" customHeight="1">
      <c r="D22" s="13" t="s">
        <v>108</v>
      </c>
    </row>
    <row r="24" spans="2:6" ht="20.25" customHeight="1">
      <c r="B24" s="14" t="s">
        <v>81</v>
      </c>
      <c r="C24" s="13" t="s">
        <v>109</v>
      </c>
      <c r="D24" s="13" t="s">
        <v>110</v>
      </c>
    </row>
    <row r="25" spans="2:6" ht="20.25" customHeight="1">
      <c r="C25" s="13" t="s">
        <v>111</v>
      </c>
      <c r="D25" s="13" t="s">
        <v>112</v>
      </c>
    </row>
    <row r="26" spans="2:6" ht="20.25" customHeight="1">
      <c r="B26" s="13"/>
    </row>
    <row r="27" spans="2:6" ht="20.25" customHeight="1">
      <c r="D27" s="14" t="s">
        <v>113</v>
      </c>
      <c r="F27" s="7"/>
    </row>
    <row r="41" spans="6:10" ht="20.25" customHeight="1">
      <c r="F41" s="2"/>
      <c r="G41" s="2"/>
    </row>
    <row r="42" spans="6:10" ht="20.25" customHeight="1">
      <c r="F42" s="2"/>
      <c r="G42" s="2"/>
    </row>
    <row r="43" spans="6:10" ht="20.25" customHeight="1">
      <c r="F43" s="2"/>
      <c r="G43" s="2"/>
    </row>
    <row r="45" spans="6:10" ht="20.25" customHeight="1">
      <c r="H45" s="2"/>
      <c r="I45" s="2"/>
      <c r="J45" s="2"/>
    </row>
    <row r="46" spans="6:10" ht="20.25" customHeight="1">
      <c r="H46" s="2"/>
      <c r="I46" s="2"/>
      <c r="J46" s="2"/>
    </row>
    <row r="47" spans="6:10" ht="20.25" customHeight="1">
      <c r="H47" s="2"/>
      <c r="I47" s="2"/>
      <c r="J47" s="2"/>
    </row>
    <row r="49" spans="2:2" ht="20.25" customHeight="1">
      <c r="B49" s="13"/>
    </row>
    <row r="50" spans="2:2" ht="20.25" customHeight="1">
      <c r="B50" s="13"/>
    </row>
    <row r="51" spans="2:2" ht="20.25" customHeight="1">
      <c r="B51" s="13"/>
    </row>
  </sheetData>
  <phoneticPr fontId="2"/>
  <printOptions horizontalCentered="1" verticalCentered="1"/>
  <pageMargins left="0.23622047244094499" right="0.196850393700787" top="0.27559055118110198" bottom="0.31496062992126" header="0.511811023622047" footer="0.15748031496063"/>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BB57-0CFD-4C7B-B26C-9F5AFC791BCB}">
  <sheetPr>
    <pageSetUpPr fitToPage="1"/>
  </sheetPr>
  <dimension ref="A1:U49"/>
  <sheetViews>
    <sheetView view="pageBreakPreview" zoomScale="47" zoomScaleNormal="55" zoomScaleSheetLayoutView="47" workbookViewId="0">
      <pane xSplit="6" ySplit="4" topLeftCell="G5" activePane="bottomRight" state="frozen"/>
      <selection pane="topRight"/>
      <selection pane="bottomLeft"/>
      <selection pane="bottomRight"/>
    </sheetView>
  </sheetViews>
  <sheetFormatPr defaultColWidth="9" defaultRowHeight="22.15"/>
  <cols>
    <col min="1" max="1" width="2.59765625" style="60" customWidth="1"/>
    <col min="2" max="5" width="3.86328125" style="60" customWidth="1"/>
    <col min="6" max="6" width="80.3984375" style="60" customWidth="1"/>
    <col min="7" max="16" width="18.1328125" style="60" customWidth="1"/>
    <col min="17" max="17" width="4.3984375" style="60" customWidth="1"/>
    <col min="18" max="21" width="9" style="60" hidden="1" customWidth="1"/>
    <col min="22" max="22" width="9" style="60"/>
    <col min="23" max="24" width="18.1328125" style="60" bestFit="1" customWidth="1"/>
    <col min="25" max="16384" width="9" style="60"/>
  </cols>
  <sheetData>
    <row r="1" spans="2:16" s="57" customFormat="1" ht="23.25" customHeight="1">
      <c r="B1" s="58" t="s">
        <v>9</v>
      </c>
      <c r="C1" s="58"/>
      <c r="D1" s="58"/>
      <c r="E1" s="58"/>
      <c r="F1" s="58"/>
      <c r="G1" s="58"/>
      <c r="H1" s="58"/>
      <c r="I1" s="97"/>
      <c r="J1" s="97"/>
      <c r="K1" s="97"/>
      <c r="L1" s="97"/>
      <c r="M1" s="97"/>
      <c r="N1" s="97"/>
      <c r="O1" s="97"/>
      <c r="P1" s="59"/>
    </row>
    <row r="2" spans="2:16" ht="30.75" customHeight="1" thickBot="1">
      <c r="B2" s="69" t="s">
        <v>10</v>
      </c>
      <c r="C2" s="69"/>
      <c r="D2" s="64"/>
      <c r="E2" s="64"/>
      <c r="F2" s="64"/>
      <c r="G2" s="129" t="str">
        <f>_EPRCS_VU_d2fb5d56_16c7_415f_b77b_46eb22c1ecce</f>
        <v>Q3</v>
      </c>
      <c r="H2" s="64"/>
      <c r="I2" s="64"/>
      <c r="J2" s="64"/>
      <c r="K2" s="64"/>
      <c r="L2" s="64"/>
      <c r="M2" s="64"/>
      <c r="N2" s="64"/>
      <c r="O2" s="64"/>
      <c r="P2" s="64" t="s">
        <v>11</v>
      </c>
    </row>
    <row r="3" spans="2:16" ht="24.75" customHeight="1">
      <c r="B3" s="506"/>
      <c r="C3" s="507"/>
      <c r="D3" s="508"/>
      <c r="E3" s="508"/>
      <c r="F3" s="508"/>
      <c r="G3" s="278"/>
      <c r="H3" s="279"/>
      <c r="I3" s="280">
        <v>45778</v>
      </c>
      <c r="J3" s="279"/>
      <c r="K3" s="281"/>
      <c r="L3" s="68"/>
      <c r="M3" s="61"/>
      <c r="N3" s="66">
        <v>45413</v>
      </c>
      <c r="O3" s="61"/>
      <c r="P3" s="62"/>
    </row>
    <row r="4" spans="2:16" ht="24.75" customHeight="1" thickBot="1">
      <c r="B4" s="509"/>
      <c r="C4" s="510"/>
      <c r="D4" s="510"/>
      <c r="E4" s="510"/>
      <c r="F4" s="510"/>
      <c r="G4" s="344" t="s">
        <v>12</v>
      </c>
      <c r="H4" s="282" t="s">
        <v>13</v>
      </c>
      <c r="I4" s="370" t="s">
        <v>14</v>
      </c>
      <c r="J4" s="282" t="s">
        <v>15</v>
      </c>
      <c r="K4" s="283" t="s">
        <v>16</v>
      </c>
      <c r="L4" s="348" t="s">
        <v>12</v>
      </c>
      <c r="M4" s="63" t="s">
        <v>13</v>
      </c>
      <c r="N4" s="372" t="s">
        <v>14</v>
      </c>
      <c r="O4" s="63" t="s">
        <v>15</v>
      </c>
      <c r="P4" s="67" t="s">
        <v>16</v>
      </c>
    </row>
    <row r="5" spans="2:16" ht="26.25" customHeight="1">
      <c r="B5" s="539"/>
      <c r="C5" s="540"/>
      <c r="D5" s="519" t="s">
        <v>114</v>
      </c>
      <c r="E5" s="512"/>
      <c r="F5" s="520"/>
      <c r="G5" s="287">
        <v>13915</v>
      </c>
      <c r="H5" s="288">
        <v>14368</v>
      </c>
      <c r="I5" s="334">
        <v>16711</v>
      </c>
      <c r="J5" s="289"/>
      <c r="K5" s="291">
        <v>44995</v>
      </c>
      <c r="L5" s="349">
        <v>12742</v>
      </c>
      <c r="M5" s="70">
        <v>11110</v>
      </c>
      <c r="N5" s="330">
        <v>11726</v>
      </c>
      <c r="O5" s="71">
        <v>12678</v>
      </c>
      <c r="P5" s="105">
        <v>48257</v>
      </c>
    </row>
    <row r="6" spans="2:16" ht="26.25" customHeight="1">
      <c r="B6" s="539"/>
      <c r="C6" s="540"/>
      <c r="D6" s="521"/>
      <c r="E6" s="514"/>
      <c r="F6" s="522"/>
      <c r="G6" s="345">
        <v>9.1999999999999998E-2</v>
      </c>
      <c r="H6" s="284">
        <v>0.29299999999999998</v>
      </c>
      <c r="I6" s="323">
        <v>0.42499999999999999</v>
      </c>
      <c r="J6" s="285"/>
      <c r="K6" s="286">
        <v>0.26500000000000001</v>
      </c>
      <c r="L6" s="350">
        <v>0.374</v>
      </c>
      <c r="M6" s="74">
        <v>0.38300000000000001</v>
      </c>
      <c r="N6" s="328">
        <v>0.33200000000000002</v>
      </c>
      <c r="O6" s="75">
        <v>0.24299999999999999</v>
      </c>
      <c r="P6" s="76">
        <v>0.32900000000000001</v>
      </c>
    </row>
    <row r="7" spans="2:16" ht="26.25" customHeight="1">
      <c r="B7" s="539"/>
      <c r="C7" s="540"/>
      <c r="D7" s="519" t="s">
        <v>115</v>
      </c>
      <c r="E7" s="512"/>
      <c r="F7" s="520"/>
      <c r="G7" s="287">
        <v>27969</v>
      </c>
      <c r="H7" s="288">
        <v>28190</v>
      </c>
      <c r="I7" s="334">
        <v>27976</v>
      </c>
      <c r="J7" s="289"/>
      <c r="K7" s="291">
        <v>84136</v>
      </c>
      <c r="L7" s="349">
        <v>26991</v>
      </c>
      <c r="M7" s="70">
        <v>27269</v>
      </c>
      <c r="N7" s="330">
        <v>27527</v>
      </c>
      <c r="O7" s="71">
        <v>27743</v>
      </c>
      <c r="P7" s="105">
        <v>109531</v>
      </c>
    </row>
    <row r="8" spans="2:16" ht="26.25" customHeight="1">
      <c r="B8" s="539"/>
      <c r="C8" s="540"/>
      <c r="D8" s="521"/>
      <c r="E8" s="514"/>
      <c r="F8" s="522"/>
      <c r="G8" s="345">
        <v>3.5999999999999997E-2</v>
      </c>
      <c r="H8" s="284">
        <v>3.4000000000000002E-2</v>
      </c>
      <c r="I8" s="323">
        <v>1.6E-2</v>
      </c>
      <c r="J8" s="285"/>
      <c r="K8" s="286">
        <v>2.9000000000000001E-2</v>
      </c>
      <c r="L8" s="350">
        <v>2.9000000000000001E-2</v>
      </c>
      <c r="M8" s="74">
        <v>3.5999999999999997E-2</v>
      </c>
      <c r="N8" s="328">
        <v>4.1000000000000002E-2</v>
      </c>
      <c r="O8" s="75">
        <v>0.04</v>
      </c>
      <c r="P8" s="76">
        <v>3.6999999999999998E-2</v>
      </c>
    </row>
    <row r="9" spans="2:16" ht="26.25" customHeight="1">
      <c r="B9" s="539"/>
      <c r="C9" s="519" t="s">
        <v>116</v>
      </c>
      <c r="D9" s="541"/>
      <c r="E9" s="541"/>
      <c r="F9" s="542"/>
      <c r="G9" s="354">
        <f>_EPRCS_VU_164314ae_9901_442e_8f6c_4ab988dd52ac</f>
        <v>19097</v>
      </c>
      <c r="H9" s="308">
        <v>42558</v>
      </c>
      <c r="I9" s="334">
        <v>44688</v>
      </c>
      <c r="J9" s="292"/>
      <c r="K9" s="291">
        <f>_EPRCS_VU_f5a4891f_519f_46c3_97d8_5feb1ed7f28e</f>
        <v>60638</v>
      </c>
      <c r="L9" s="351">
        <v>39733</v>
      </c>
      <c r="M9" s="375">
        <v>38379</v>
      </c>
      <c r="N9" s="327">
        <v>39253</v>
      </c>
      <c r="O9" s="73">
        <v>40422</v>
      </c>
      <c r="P9" s="190">
        <v>157789</v>
      </c>
    </row>
    <row r="10" spans="2:16" ht="26.25" customHeight="1">
      <c r="B10" s="539"/>
      <c r="C10" s="543"/>
      <c r="D10" s="544"/>
      <c r="E10" s="544"/>
      <c r="F10" s="545"/>
      <c r="G10" s="345" t="str">
        <f>_EPRCS_VU_0938f15e_8674_4cad_afe9_a95cf5f68a94</f>
        <v>37.2%</v>
      </c>
      <c r="H10" s="284">
        <v>0.109</v>
      </c>
      <c r="I10" s="323">
        <v>0.13800000000000001</v>
      </c>
      <c r="J10" s="285"/>
      <c r="K10" s="286" t="str">
        <f>_EPRCS_VU_040c2c7f_b30d_4c60_a3c7_8f61c9fe0136</f>
        <v>34.8%</v>
      </c>
      <c r="L10" s="350" t="s">
        <v>117</v>
      </c>
      <c r="M10" s="74" t="s">
        <v>118</v>
      </c>
      <c r="N10" s="328" t="s">
        <v>35</v>
      </c>
      <c r="O10" s="75" t="s">
        <v>119</v>
      </c>
      <c r="P10" s="76" t="s">
        <v>120</v>
      </c>
    </row>
    <row r="11" spans="2:16" ht="26.25" customHeight="1">
      <c r="B11" s="539"/>
      <c r="C11" s="524" t="s">
        <v>121</v>
      </c>
      <c r="D11" s="516"/>
      <c r="E11" s="516"/>
      <c r="F11" s="525"/>
      <c r="G11" s="287">
        <f>_EPRCS_VU_fb4a2786_6a8a_460c_8782_1b4a50b21a48</f>
        <v>37441</v>
      </c>
      <c r="H11" s="288">
        <f>IF(G2="Q1","",_EPRCS_VU_8ee60e04_4707_4954_8688_682c36a917ed)</f>
        <v>38975</v>
      </c>
      <c r="I11" s="334">
        <f>IF(G2="Q1","",IF(G2="Q2","",_EPRCS_VU_a0c7771e_d330_4bd1_baab_a2ff36b9f8f7))</f>
        <v>40294</v>
      </c>
      <c r="J11" s="289" t="str">
        <f>IF(G2="Q1","",IF(G2="Q2","",IF(G2="Q3","",_EPRCS_VU_d932912b_08be_4bab_ade1_e3daf144040e)))</f>
        <v/>
      </c>
      <c r="K11" s="291">
        <f>_EPRCS_VU_ec0aae8b_2899_4790_8689_0b9e6c5efedb</f>
        <v>116711</v>
      </c>
      <c r="L11" s="349">
        <v>8436</v>
      </c>
      <c r="M11" s="70">
        <v>11839</v>
      </c>
      <c r="N11" s="330">
        <v>11022</v>
      </c>
      <c r="O11" s="71">
        <v>15987</v>
      </c>
      <c r="P11" s="105">
        <v>47285</v>
      </c>
    </row>
    <row r="12" spans="2:16" ht="26.25" customHeight="1">
      <c r="B12" s="539"/>
      <c r="C12" s="521"/>
      <c r="D12" s="514"/>
      <c r="E12" s="514"/>
      <c r="F12" s="522"/>
      <c r="G12" s="345" t="str">
        <f>_EPRCS_VU_6778d503_cd77_4392_8b55_281b9676c784</f>
        <v>-7.6%</v>
      </c>
      <c r="H12" s="284" t="str">
        <f>IF(G2="Q1","",_EPRCS_VU_f24021b0_e26b_414d_8e82_a8f4a8366a50)</f>
        <v/>
      </c>
      <c r="I12" s="323" t="str">
        <f>IF(G2="Q1","",IF(G2="Q2","",_EPRCS_VU_949329c0_7bfa_4b5f_937d_2cafb1001c62))</f>
        <v/>
      </c>
      <c r="J12" s="285" t="str">
        <f>IF(G2="Q1","",IF(G2="Q2","",IF(G2="Q3","",_EPRCS_VU_5e7ecf31_0071_4c50_af91_c91e22243da9)))</f>
        <v/>
      </c>
      <c r="K12" s="286" t="str">
        <f>_EPRCS_VU_2ff14483_15b6_46c7_b1c1_d04259de6e47</f>
        <v>-1.2%</v>
      </c>
      <c r="L12" s="350" t="s">
        <v>122</v>
      </c>
      <c r="M12" s="74" t="s">
        <v>123</v>
      </c>
      <c r="N12" s="328" t="s">
        <v>124</v>
      </c>
      <c r="O12" s="75" t="s">
        <v>125</v>
      </c>
      <c r="P12" s="76" t="s">
        <v>126</v>
      </c>
    </row>
    <row r="13" spans="2:16" ht="26.25" customHeight="1">
      <c r="B13" s="511" t="s">
        <v>127</v>
      </c>
      <c r="C13" s="512"/>
      <c r="D13" s="512"/>
      <c r="E13" s="512"/>
      <c r="F13" s="520"/>
      <c r="G13" s="287">
        <f>_EPRCS_VU_52ba04c2_5d53_4f92_864e_5a09f5649303</f>
        <v>56539</v>
      </c>
      <c r="H13" s="294">
        <f>IF(G2="Q1","",_EPRCS_VU_f4b3440f_d9e5_4e84_8290_e9521dfa9f40)</f>
        <v>59007</v>
      </c>
      <c r="I13" s="369">
        <f>IF(G2="Q1","",IF(G2="Q2","",_EPRCS_VU_67d9381c_3f83_4446_af10_59c2bcbc3823))</f>
        <v>61803</v>
      </c>
      <c r="J13" s="294" t="str">
        <f>IF(G2="Q1","",IF(G2="Q2","",IF(G2="Q3","",_EPRCS_VU_64c4a6d4_d662_4c9e_a66f_067e591de565)))</f>
        <v/>
      </c>
      <c r="K13" s="291">
        <f>_EPRCS_VU_7f6dc856_c643_42af_83fc_f489eead6b52</f>
        <v>177350</v>
      </c>
      <c r="L13" s="349">
        <v>48170</v>
      </c>
      <c r="M13" s="73">
        <v>50218</v>
      </c>
      <c r="N13" s="373">
        <v>50276</v>
      </c>
      <c r="O13" s="73">
        <v>56409</v>
      </c>
      <c r="P13" s="72">
        <v>205074</v>
      </c>
    </row>
    <row r="14" spans="2:16" ht="26.25" customHeight="1">
      <c r="B14" s="513"/>
      <c r="C14" s="514"/>
      <c r="D14" s="514"/>
      <c r="E14" s="514"/>
      <c r="F14" s="522"/>
      <c r="G14" s="346" t="str">
        <f>_EPRCS_VU_563624dc_6184_43d4_8ef7_ea7113c1e387</f>
        <v>3.9%</v>
      </c>
      <c r="H14" s="285" t="str">
        <f>IF(G2="Q1","",_EPRCS_VU_881c7668_d89f_47d8_8cfd_8620cf9bd339)</f>
        <v/>
      </c>
      <c r="I14" s="371" t="str">
        <f>IF(G2="Q1","",IF(G2="Q2","",_EPRCS_VU_f4abe92b_0b03_47fe_915e_24a6ac18245d))</f>
        <v/>
      </c>
      <c r="J14" s="285" t="str">
        <f>IF(G2="Q1","",IF(G2="Q2","",IF(G2="Q3","",_EPRCS_VU_05a1f6ba_6ba9_43be_b367_0e593ecf126d)))</f>
        <v/>
      </c>
      <c r="K14" s="286" t="str">
        <f>_EPRCS_VU_fd62535f_4753_44f0_ba6c_3328628636d7</f>
        <v>8.8%</v>
      </c>
      <c r="L14" s="352" t="s">
        <v>37</v>
      </c>
      <c r="M14" s="75" t="s">
        <v>128</v>
      </c>
      <c r="N14" s="374" t="s">
        <v>46</v>
      </c>
      <c r="O14" s="75" t="s">
        <v>129</v>
      </c>
      <c r="P14" s="76" t="s">
        <v>130</v>
      </c>
    </row>
    <row r="15" spans="2:16" ht="26.25" customHeight="1">
      <c r="B15" s="511" t="s">
        <v>131</v>
      </c>
      <c r="C15" s="512"/>
      <c r="D15" s="512"/>
      <c r="E15" s="512"/>
      <c r="F15" s="512"/>
      <c r="G15" s="287">
        <f>_EPRCS_VU_d53cf55a_8832_44b4_abd1_38c8de527124</f>
        <v>3463</v>
      </c>
      <c r="H15" s="288">
        <f>IF(G2="Q1","",_EPRCS_VU_33e74c85_cb84_4799_a308_b8adc498a699)</f>
        <v>2994</v>
      </c>
      <c r="I15" s="320">
        <f>IF(G2="Q1","",IF(G2="Q2","",_EPRCS_VU_99bcbf6d_36f6_4b97_8831_540470b13e84))</f>
        <v>3662</v>
      </c>
      <c r="J15" s="289" t="str">
        <f>IF(G2="Q1","",IF(G2="Q2","",IF(G2="Q3","",_EPRCS_VU_6c90a9d2_18fb_4ebb_bf7f_bb3898c522dd)))</f>
        <v/>
      </c>
      <c r="K15" s="291">
        <f>_EPRCS_VU_44d65a28_17fa_47ae_9fb3_9aa1f5fc0907</f>
        <v>10120</v>
      </c>
      <c r="L15" s="349">
        <v>3819</v>
      </c>
      <c r="M15" s="70">
        <v>4226</v>
      </c>
      <c r="N15" s="325">
        <v>3748</v>
      </c>
      <c r="O15" s="71">
        <v>5101</v>
      </c>
      <c r="P15" s="72">
        <v>16896</v>
      </c>
    </row>
    <row r="16" spans="2:16" ht="26.25" customHeight="1">
      <c r="B16" s="513"/>
      <c r="C16" s="514"/>
      <c r="D16" s="514"/>
      <c r="E16" s="514"/>
      <c r="F16" s="514"/>
      <c r="G16" s="345" t="str">
        <f>_EPRCS_VU_faa4c73d_0ec4_4306_822d_9dfd875baa3c</f>
        <v>-4.1%</v>
      </c>
      <c r="H16" s="284" t="str">
        <f>IF(G2="Q1","",_EPRCS_VU_d42896cb_6231_43a1_93cd_7ce679deb5bc)</f>
        <v/>
      </c>
      <c r="I16" s="321" t="str">
        <f>IF(G2="Q1","",IF(G2="Q2","",_EPRCS_VU_59d39eb9_3eab_4df5_98a4_20ce68e9ef0d))</f>
        <v/>
      </c>
      <c r="J16" s="285" t="str">
        <f>IF(G2="Q1","",IF(G2="Q2","",IF(G2="Q3","",_EPRCS_VU_af9138e6_e99c_4626_95d8_aaf4a78244d6)))</f>
        <v/>
      </c>
      <c r="K16" s="286" t="str">
        <f>_EPRCS_VU_ca344b73_c91a_4770_b367_389bf785b03e</f>
        <v>-10.2%</v>
      </c>
      <c r="L16" s="350" t="s">
        <v>132</v>
      </c>
      <c r="M16" s="74" t="s">
        <v>126</v>
      </c>
      <c r="N16" s="326" t="s">
        <v>133</v>
      </c>
      <c r="O16" s="75" t="s">
        <v>134</v>
      </c>
      <c r="P16" s="76" t="s">
        <v>135</v>
      </c>
    </row>
    <row r="17" spans="2:16" ht="26.25" customHeight="1">
      <c r="B17" s="515" t="s">
        <v>136</v>
      </c>
      <c r="C17" s="516"/>
      <c r="D17" s="516"/>
      <c r="E17" s="516"/>
      <c r="F17" s="516"/>
      <c r="G17" s="287">
        <f>_EPRCS_VU_4631bd45_a5b4_445f_9fc8_1c28d92de6f1</f>
        <v>6272</v>
      </c>
      <c r="H17" s="288">
        <f>IF(G2="Q1","",_EPRCS_VU_02f9b66c_d5e2_4a08_a8b6_c4cff0e76482)</f>
        <v>6399</v>
      </c>
      <c r="I17" s="320">
        <f>IF(G2="Q1","",IF(G2="Q2","",_EPRCS_VU_8e645a67_7490_44b2_9c0f_36c77af07d9d))</f>
        <v>6527</v>
      </c>
      <c r="J17" s="289" t="str">
        <f>IF(G2="Q1","",IF(G2="Q2","",IF(G2="Q3","",_EPRCS_VU_feb35535_1bf1_4905_bd6d_f28c7198d50a)))</f>
        <v/>
      </c>
      <c r="K17" s="291">
        <f>_EPRCS_VU_5d42b79e_50aa_4c26_920a_b0a51e3bd5f8</f>
        <v>19200</v>
      </c>
      <c r="L17" s="349">
        <v>5382</v>
      </c>
      <c r="M17" s="70">
        <v>5602</v>
      </c>
      <c r="N17" s="325">
        <v>5438</v>
      </c>
      <c r="O17" s="71">
        <v>6148</v>
      </c>
      <c r="P17" s="72">
        <v>22571</v>
      </c>
    </row>
    <row r="18" spans="2:16" ht="26.25" customHeight="1">
      <c r="B18" s="513"/>
      <c r="C18" s="514"/>
      <c r="D18" s="514"/>
      <c r="E18" s="514"/>
      <c r="F18" s="514"/>
      <c r="G18" s="345" t="str">
        <f>_EPRCS_VU_c27650e9_22bc_41a7_8c4d_1332cc97a43d</f>
        <v>6.9%</v>
      </c>
      <c r="H18" s="284" t="str">
        <f>IF(G2="Q1","",_EPRCS_VU_e2f5ddca_e84f_48ed_82fa_5e431865ce2f)</f>
        <v/>
      </c>
      <c r="I18" s="321" t="str">
        <f>IF(G2="Q1","",IF(G2="Q2","",_EPRCS_VU_608957dc_7fe6_4813_b3b6_30d3f4d58e5b))</f>
        <v/>
      </c>
      <c r="J18" s="285" t="str">
        <f>IF(G2="Q1","",IF(G2="Q2","",IF(G2="Q3","",_EPRCS_VU_9010f969_1453_411d_8b78_0dadaeec8c5a)))</f>
        <v/>
      </c>
      <c r="K18" s="286" t="str">
        <f>_EPRCS_VU_6df4d4b1_028d_40cf_ab20_1dbb362fd992</f>
        <v>3.5%</v>
      </c>
      <c r="L18" s="350" t="s">
        <v>137</v>
      </c>
      <c r="M18" s="74" t="s">
        <v>138</v>
      </c>
      <c r="N18" s="326" t="s">
        <v>139</v>
      </c>
      <c r="O18" s="75" t="s">
        <v>140</v>
      </c>
      <c r="P18" s="76" t="s">
        <v>141</v>
      </c>
    </row>
    <row r="19" spans="2:16" ht="26.25" customHeight="1">
      <c r="B19" s="515" t="s">
        <v>34</v>
      </c>
      <c r="C19" s="516"/>
      <c r="D19" s="516"/>
      <c r="E19" s="516"/>
      <c r="F19" s="516"/>
      <c r="G19" s="287">
        <f>_EPRCS_VU_bdec0a6c_7ea8_441e_8fd4_da9adc5d1936</f>
        <v>66275</v>
      </c>
      <c r="H19" s="288">
        <f>IF(G2="Q1","",_EPRCS_VU_a9e05884_1882_4b19_9064_aaaa737a84e1)</f>
        <v>68401</v>
      </c>
      <c r="I19" s="320">
        <f>IF(G2="Q1","",IF(G2="Q2","",_EPRCS_VU_52229cca_45fc_4f6d_bcae_a9a8440199f2))</f>
        <v>71993</v>
      </c>
      <c r="J19" s="289" t="str">
        <f>IF(G2="Q1","",IF(G2="Q2","",IF(G2="Q3","",_EPRCS_VU_6704a2cb_635a_49c2_afbf_76d3a8cb3d01)))</f>
        <v/>
      </c>
      <c r="K19" s="291">
        <f>_EPRCS_VU_853e6c8c_88b3_4797_b3ae_00543c0851cf</f>
        <v>206670</v>
      </c>
      <c r="L19" s="349">
        <v>57372</v>
      </c>
      <c r="M19" s="70">
        <v>60047</v>
      </c>
      <c r="N19" s="325">
        <v>59464</v>
      </c>
      <c r="O19" s="71">
        <v>67658</v>
      </c>
      <c r="P19" s="105">
        <v>244542</v>
      </c>
    </row>
    <row r="20" spans="2:16" ht="26.25" customHeight="1" thickBot="1">
      <c r="B20" s="517"/>
      <c r="C20" s="518"/>
      <c r="D20" s="518"/>
      <c r="E20" s="518"/>
      <c r="F20" s="518"/>
      <c r="G20" s="347" t="str">
        <f>_EPRCS_VU_68fa52f0_0326_4b94_8bf1_e22321dfcb3f</f>
        <v>3.7%</v>
      </c>
      <c r="H20" s="295" t="str">
        <f>IF(G2="Q1","",_EPRCS_VU_0ae448fe_75d2_4221_a98a_a25852b08506)</f>
        <v/>
      </c>
      <c r="I20" s="324" t="str">
        <f>IF(G2="Q1","",IF(G2="Q2","",_EPRCS_VU_554742a0_b8c7_4031_a515_02933844c00c))</f>
        <v/>
      </c>
      <c r="J20" s="296" t="str">
        <f>IF(G2="Q1","",IF(G2="Q2","",IF(G2="Q3","",_EPRCS_VU_3f8a66b1_df1b_4983_9e0e_2230bb875221)))</f>
        <v/>
      </c>
      <c r="K20" s="297" t="str">
        <f>_EPRCS_VU_9493c023_1b12_4c05_af32_4e6892614817</f>
        <v>7.1%</v>
      </c>
      <c r="L20" s="353" t="s">
        <v>142</v>
      </c>
      <c r="M20" s="78" t="s">
        <v>143</v>
      </c>
      <c r="N20" s="329" t="s">
        <v>144</v>
      </c>
      <c r="O20" s="79" t="s">
        <v>145</v>
      </c>
      <c r="P20" s="80" t="s">
        <v>39</v>
      </c>
    </row>
    <row r="21" spans="2:16" ht="11.1" customHeight="1">
      <c r="B21" s="523"/>
      <c r="C21" s="523"/>
      <c r="D21" s="523"/>
      <c r="E21" s="523"/>
      <c r="F21" s="523"/>
      <c r="G21" s="523"/>
      <c r="H21" s="523"/>
      <c r="I21" s="523"/>
      <c r="J21" s="523"/>
      <c r="K21" s="523"/>
      <c r="L21" s="523"/>
      <c r="M21" s="523"/>
      <c r="N21" s="523"/>
      <c r="O21" s="523"/>
      <c r="P21" s="523"/>
    </row>
    <row r="22" spans="2:16" ht="23.65" customHeight="1" thickBot="1">
      <c r="B22" s="69" t="s">
        <v>41</v>
      </c>
      <c r="C22" s="69"/>
    </row>
    <row r="23" spans="2:16" ht="26.25" customHeight="1">
      <c r="B23" s="506"/>
      <c r="C23" s="507"/>
      <c r="D23" s="508"/>
      <c r="E23" s="508"/>
      <c r="F23" s="508"/>
      <c r="G23" s="278"/>
      <c r="H23" s="279"/>
      <c r="I23" s="280">
        <v>45778</v>
      </c>
      <c r="J23" s="279"/>
      <c r="K23" s="281"/>
      <c r="L23" s="98"/>
      <c r="M23" s="61"/>
      <c r="N23" s="66">
        <v>45413</v>
      </c>
      <c r="O23" s="61"/>
      <c r="P23" s="62"/>
    </row>
    <row r="24" spans="2:16" ht="26.25" customHeight="1" thickBot="1">
      <c r="B24" s="509"/>
      <c r="C24" s="510"/>
      <c r="D24" s="510"/>
      <c r="E24" s="510"/>
      <c r="F24" s="510"/>
      <c r="G24" s="344" t="s">
        <v>12</v>
      </c>
      <c r="H24" s="282" t="s">
        <v>13</v>
      </c>
      <c r="I24" s="370" t="s">
        <v>14</v>
      </c>
      <c r="J24" s="282" t="s">
        <v>15</v>
      </c>
      <c r="K24" s="283" t="s">
        <v>16</v>
      </c>
      <c r="L24" s="100" t="s">
        <v>12</v>
      </c>
      <c r="M24" s="63" t="s">
        <v>13</v>
      </c>
      <c r="N24" s="372" t="s">
        <v>14</v>
      </c>
      <c r="O24" s="63" t="s">
        <v>15</v>
      </c>
      <c r="P24" s="67" t="s">
        <v>16</v>
      </c>
    </row>
    <row r="25" spans="2:16" s="65" customFormat="1" ht="26.25" customHeight="1">
      <c r="B25" s="511" t="s">
        <v>127</v>
      </c>
      <c r="C25" s="512"/>
      <c r="D25" s="512"/>
      <c r="E25" s="512"/>
      <c r="F25" s="512"/>
      <c r="G25" s="287">
        <f>_EPRCS_VU_523d6d83_0efc_4f72_b1aa_fa727972963b</f>
        <v>21159</v>
      </c>
      <c r="H25" s="289">
        <f>IF(G2="Q1","",_EPRCS_VU_7251f68f_21fe_4d48_b8fb_1a2025e458d4)</f>
        <v>21539</v>
      </c>
      <c r="I25" s="369">
        <f>IF(G2="Q1","",IF(G2="Q2","",_EPRCS_VU_db8146e5_8ef6_4cc3_a193_f04b264a276d))</f>
        <v>23612</v>
      </c>
      <c r="J25" s="289" t="str">
        <f>IF(G2="Q1","",IF(G2="Q2","",IF(G2="Q3","",_EPRCS_VU_82ebe7d5_eaba_48db_a832_1a558f8fc010)))</f>
        <v/>
      </c>
      <c r="K25" s="290">
        <f>_EPRCS_VU_8a3ae97a_8cff_4610_8183_cdebb90c41dc</f>
        <v>66311</v>
      </c>
      <c r="L25" s="64">
        <v>18574</v>
      </c>
      <c r="M25" s="71">
        <v>19293</v>
      </c>
      <c r="N25" s="373">
        <v>19685</v>
      </c>
      <c r="O25" s="71">
        <v>22033</v>
      </c>
      <c r="P25" s="72">
        <v>79586</v>
      </c>
    </row>
    <row r="26" spans="2:16" s="65" customFormat="1" ht="26.25" customHeight="1">
      <c r="B26" s="513"/>
      <c r="C26" s="514"/>
      <c r="D26" s="514"/>
      <c r="E26" s="514"/>
      <c r="F26" s="514"/>
      <c r="G26" s="345" t="str">
        <f>_EPRCS_VU_02ba46fe_c1d0_4f0e_b676_50d629d4192e</f>
        <v>-3.8%</v>
      </c>
      <c r="H26" s="285" t="str">
        <f>IF(G2="Q1","",_EPRCS_VU_6ce2b8bd_115f_475a_8e0b_d953071c4240)</f>
        <v/>
      </c>
      <c r="I26" s="371" t="str">
        <f>IF(G2="Q1","",IF(G2="Q2","",_EPRCS_VU_669dad58_5407_4e7f_a477_b05ae3aa5a8c))</f>
        <v/>
      </c>
      <c r="J26" s="285" t="str">
        <f>IF(G2="Q1","",IF(G2="Q2","",IF(G2="Q3","",_EPRCS_VU_62ecb91e_ff05_404c_9ff8_4e9217b9edba)))</f>
        <v/>
      </c>
      <c r="K26" s="286" t="str">
        <f>_EPRCS_VU_3f8d2183_18b0_407a_bb09_6a0134f2f606</f>
        <v>4.9%</v>
      </c>
      <c r="L26" s="101" t="s">
        <v>146</v>
      </c>
      <c r="M26" s="75" t="s">
        <v>147</v>
      </c>
      <c r="N26" s="374" t="s">
        <v>119</v>
      </c>
      <c r="O26" s="75" t="s">
        <v>148</v>
      </c>
      <c r="P26" s="76" t="s">
        <v>149</v>
      </c>
    </row>
    <row r="27" spans="2:16" s="65" customFormat="1" ht="26.25" customHeight="1">
      <c r="B27" s="535" t="s">
        <v>131</v>
      </c>
      <c r="C27" s="536"/>
      <c r="D27" s="536"/>
      <c r="E27" s="536"/>
      <c r="F27" s="536"/>
      <c r="G27" s="354">
        <f>_EPRCS_VU_d7a65518_50c6_419f_8ddf_a8f3fb37fa5b</f>
        <v>124</v>
      </c>
      <c r="H27" s="294">
        <f>IF(G2="Q1","",_EPRCS_VU_314f0f83_f498_4f17_b824_db76c9e3305b)</f>
        <v>99</v>
      </c>
      <c r="I27" s="322">
        <f>IF(G2="Q1","",IF(G2="Q2","",_EPRCS_VU_06eede71_de00_40d6_a98a_16250d10faa2))</f>
        <v>112</v>
      </c>
      <c r="J27" s="294" t="str">
        <f>IF(G2="Q1","",IF(G2="Q2","",IF(G2="Q3","",_EPRCS_VU_8df7cf8e_87e7_441d_bd4a_b03e8986ee4c)))</f>
        <v/>
      </c>
      <c r="K27" s="290">
        <f>_EPRCS_VU_6b9bb8dd_7d3f_41fc_92da_fc0ac84d5875</f>
        <v>336</v>
      </c>
      <c r="L27" s="358">
        <v>160</v>
      </c>
      <c r="M27" s="73">
        <v>116</v>
      </c>
      <c r="N27" s="327">
        <v>158</v>
      </c>
      <c r="O27" s="73">
        <v>255</v>
      </c>
      <c r="P27" s="81">
        <v>691</v>
      </c>
    </row>
    <row r="28" spans="2:16" s="65" customFormat="1" ht="26.25" customHeight="1">
      <c r="B28" s="537"/>
      <c r="C28" s="538"/>
      <c r="D28" s="538"/>
      <c r="E28" s="538"/>
      <c r="F28" s="538"/>
      <c r="G28" s="346" t="str">
        <f>_EPRCS_VU_3d6750bf_84a1_402f_bdac_9b66d8b81889</f>
        <v>-8.0%</v>
      </c>
      <c r="H28" s="285" t="str">
        <f>IF(G2="Q1","",_EPRCS_VU_5a8a7d08_9a31_4beb_b18d_33cf4571e540)</f>
        <v/>
      </c>
      <c r="I28" s="323" t="str">
        <f>IF(G2="Q1","",IF(G2="Q2","",_EPRCS_VU_ebbe7004_6b7f_48ad_bb09_67924feed5aa))</f>
        <v/>
      </c>
      <c r="J28" s="285" t="str">
        <f>IF(G2="Q1","",IF(G2="Q2","",IF(G2="Q3","",_EPRCS_VU_675deac9_8771_4cd0_bd82_8baf3b74c69f)))</f>
        <v/>
      </c>
      <c r="K28" s="298" t="str">
        <f>_EPRCS_VU_8a2df024_5790_4290_824e_2dcaa29cc77b</f>
        <v>-14.3%</v>
      </c>
      <c r="L28" s="359" t="s">
        <v>150</v>
      </c>
      <c r="M28" s="75" t="s">
        <v>151</v>
      </c>
      <c r="N28" s="328" t="s">
        <v>152</v>
      </c>
      <c r="O28" s="75" t="s">
        <v>153</v>
      </c>
      <c r="P28" s="82" t="s">
        <v>154</v>
      </c>
    </row>
    <row r="29" spans="2:16" s="65" customFormat="1" ht="26.25" customHeight="1">
      <c r="B29" s="535" t="s">
        <v>28</v>
      </c>
      <c r="C29" s="536"/>
      <c r="D29" s="536"/>
      <c r="E29" s="536"/>
      <c r="F29" s="536"/>
      <c r="G29" s="354">
        <f>_EPRCS_VU_991b3307_217f_42bd_86ec_0bbb4cfbe2bc</f>
        <v>1350</v>
      </c>
      <c r="H29" s="294">
        <f>IF(G2="Q1","",_EPRCS_VU_19dc56fe_d259_4594_b85a_d7317b57888c)</f>
        <v>1569</v>
      </c>
      <c r="I29" s="322">
        <f>IF(G2="Q1","",IF(G2="Q2","",_EPRCS_VU_125462be_e6a1_476f_bc18_1ad4fc4eb538))</f>
        <v>1587</v>
      </c>
      <c r="J29" s="294" t="str">
        <f>IF(G2="Q1","",IF(G2="Q2","",IF(G2="Q3","",_EPRCS_VU_18bbf68f_e445_40e8_a2aa_81c2c633f4e0)))</f>
        <v/>
      </c>
      <c r="K29" s="290">
        <f>_EPRCS_VU_abf6b0fa_0253_456e_84aa_fd2ea6eae7ac</f>
        <v>4506</v>
      </c>
      <c r="L29" s="358">
        <v>923</v>
      </c>
      <c r="M29" s="73">
        <v>1523</v>
      </c>
      <c r="N29" s="327">
        <v>837</v>
      </c>
      <c r="O29" s="73">
        <v>1480</v>
      </c>
      <c r="P29" s="81">
        <v>4764</v>
      </c>
    </row>
    <row r="30" spans="2:16" s="65" customFormat="1" ht="26.25" customHeight="1">
      <c r="B30" s="537"/>
      <c r="C30" s="538"/>
      <c r="D30" s="538"/>
      <c r="E30" s="538"/>
      <c r="F30" s="538"/>
      <c r="G30" s="346" t="str">
        <f>_EPRCS_VU_97c55d50_05e7_4454_b63c_8348a23da12e</f>
        <v>3.6%</v>
      </c>
      <c r="H30" s="285" t="str">
        <f>IF(G2="Q1","",_EPRCS_VU_cf54d0e9_c166_4192_83eb_7b9bcf39a158)</f>
        <v/>
      </c>
      <c r="I30" s="323" t="str">
        <f>IF(G2="Q1","",IF(G2="Q2","",_EPRCS_VU_f753d0c7_c8af_4f39_8efb_1d2a194678d7))</f>
        <v/>
      </c>
      <c r="J30" s="285" t="str">
        <f>IF(G2="Q1","",IF(G2="Q2","",IF(G2="Q3","",_EPRCS_VU_8dc51e93_a015_4035_be57_d8284216a19b)))</f>
        <v/>
      </c>
      <c r="K30" s="298" t="str">
        <f>_EPRCS_VU_a95b09b2_a344_4e21_a617_f4f723adaca9</f>
        <v>8.5%</v>
      </c>
      <c r="L30" s="359" t="s">
        <v>155</v>
      </c>
      <c r="M30" s="75" t="s">
        <v>122</v>
      </c>
      <c r="N30" s="328" t="s">
        <v>156</v>
      </c>
      <c r="O30" s="75" t="s">
        <v>157</v>
      </c>
      <c r="P30" s="82" t="s">
        <v>158</v>
      </c>
    </row>
    <row r="31" spans="2:16" ht="26.25" customHeight="1">
      <c r="B31" s="515" t="s">
        <v>57</v>
      </c>
      <c r="C31" s="516"/>
      <c r="D31" s="516"/>
      <c r="E31" s="516"/>
      <c r="F31" s="516"/>
      <c r="G31" s="355">
        <f>_EPRCS_VU_5b4ed197_4f19_498c_b009_bcb0311481ac</f>
        <v>-1505</v>
      </c>
      <c r="H31" s="299">
        <f>IF(G2="Q1","",_EPRCS_VU_5cc27768_b738_4725_abd3_e43c89a7be9d)</f>
        <v>-1677</v>
      </c>
      <c r="I31" s="335">
        <f>IF(G2="Q1","",IF(G2="Q2","",_EPRCS_VU_d5e7a350_e837_4617_b422_b916649416f4))</f>
        <v>-947</v>
      </c>
      <c r="J31" s="299" t="str">
        <f>IF(G2="Q1","",IF(G2="Q2","",IF(G2="Q3","",_EPRCS_VU_69fe80e4_bb68_4b6c_82db_5917581bd2d2)))</f>
        <v/>
      </c>
      <c r="K31" s="300">
        <f>_EPRCS_VU_e0d7bc3f_963c_41c6_8050_8bb2bf3fe82d</f>
        <v>-4130</v>
      </c>
      <c r="L31" s="360">
        <v>-1190</v>
      </c>
      <c r="M31" s="90">
        <v>-1080</v>
      </c>
      <c r="N31" s="331">
        <v>-1296</v>
      </c>
      <c r="O31" s="90">
        <v>-1656</v>
      </c>
      <c r="P31" s="91">
        <v>-5222</v>
      </c>
    </row>
    <row r="32" spans="2:16" ht="26.25" customHeight="1">
      <c r="B32" s="513"/>
      <c r="C32" s="514"/>
      <c r="D32" s="514"/>
      <c r="E32" s="514"/>
      <c r="F32" s="514"/>
      <c r="G32" s="356" t="str">
        <f>_EPRCS_VU_4dc0deb5_7a13_4f9a_8191_aade1bcb0915</f>
        <v>21.3%</v>
      </c>
      <c r="H32" s="293" t="str">
        <f>IF(G2="Q1","",_EPRCS_VU_9f441f2f_fa73_4337_9d97_97b2eda88e92)</f>
        <v/>
      </c>
      <c r="I32" s="336" t="str">
        <f>IF(G2="Q1","",IF(G2="Q2","",_EPRCS_VU_cdebbcb7_3b74_4e9d_bdb9_eab1accaebb4))</f>
        <v/>
      </c>
      <c r="J32" s="293" t="str">
        <f>IF(G2="Q1","",IF(G2="Q2","",IF(G2="Q3","",_EPRCS_VU_2ca3841c_e4d0_406e_95ed_03b4b368b599)))</f>
        <v/>
      </c>
      <c r="K32" s="301" t="str">
        <f>_EPRCS_VU_09ea46ee_ea57_4341_8d7b_e6e22a9c9d6a</f>
        <v>17.2%</v>
      </c>
      <c r="L32" s="361" t="s">
        <v>159</v>
      </c>
      <c r="M32" s="77" t="s">
        <v>160</v>
      </c>
      <c r="N32" s="332" t="s">
        <v>161</v>
      </c>
      <c r="O32" s="77" t="s">
        <v>162</v>
      </c>
      <c r="P32" s="83" t="s">
        <v>144</v>
      </c>
    </row>
    <row r="33" spans="1:16" ht="26.25" customHeight="1">
      <c r="B33" s="515" t="s">
        <v>63</v>
      </c>
      <c r="C33" s="516"/>
      <c r="D33" s="516"/>
      <c r="E33" s="516"/>
      <c r="F33" s="516"/>
      <c r="G33" s="354">
        <f>_EPRCS_VU_56c748b5_a54c_4233_8c95_d32791138813</f>
        <v>21128</v>
      </c>
      <c r="H33" s="294">
        <f>IF(G2="Q1","",_EPRCS_VU_d0caf8e1_6ae4_4d1c_9770_14a41dd2c235)</f>
        <v>21531</v>
      </c>
      <c r="I33" s="322">
        <f>IF(G2="Q1","",IF(G2="Q2","",_EPRCS_VU_537ddc2c_08b3_4b7b_a101_8cde014f8238))</f>
        <v>24364</v>
      </c>
      <c r="J33" s="294" t="str">
        <f>IF(G2="Q1","",IF(G2="Q2","",IF(G2="Q3","",_EPRCS_VU_7ab7f997_d05b_4b1d_a371_3fb8a492c167)))</f>
        <v/>
      </c>
      <c r="K33" s="302">
        <f>_EPRCS_VU_1fa45dd0_5a25_498b_a552_a7a49255556a</f>
        <v>67023</v>
      </c>
      <c r="L33" s="358">
        <v>18468</v>
      </c>
      <c r="M33" s="73">
        <v>19853</v>
      </c>
      <c r="N33" s="327">
        <v>19384</v>
      </c>
      <c r="O33" s="73">
        <v>22113</v>
      </c>
      <c r="P33" s="81">
        <v>79820</v>
      </c>
    </row>
    <row r="34" spans="1:16" s="65" customFormat="1" ht="26.25" customHeight="1" thickBot="1">
      <c r="B34" s="517"/>
      <c r="C34" s="518"/>
      <c r="D34" s="518"/>
      <c r="E34" s="518"/>
      <c r="F34" s="518"/>
      <c r="G34" s="357" t="str">
        <f>_EPRCS_VU_b66ea698_ba66_4be6_8ff6_2bba8a10aa77</f>
        <v>-4.8%</v>
      </c>
      <c r="H34" s="296" t="str">
        <f>IF(G2="Q1","",_EPRCS_VU_a42eb2ab_ddfa_4f5f_814d_eef5d8fd65d7)</f>
        <v/>
      </c>
      <c r="I34" s="337" t="str">
        <f>IF(G2="Q1","",IF(G2="Q2","",_EPRCS_VU_bc672684_47fe_4f4e_8d64_4e82d96e8a6a))</f>
        <v/>
      </c>
      <c r="J34" s="296" t="str">
        <f>IF(G2="Q1","",IF(G2="Q2","",IF(G2="Q3","",_EPRCS_VU_a9d6c715_2503_4835_a8b9_19e9bf702db7)))</f>
        <v/>
      </c>
      <c r="K34" s="303" t="str">
        <f>_EPRCS_VU_efd85028_fa18_450e_a0d9_a42cd712a4c8</f>
        <v>4.4%</v>
      </c>
      <c r="L34" s="362" t="s">
        <v>163</v>
      </c>
      <c r="M34" s="79" t="s">
        <v>128</v>
      </c>
      <c r="N34" s="333" t="s">
        <v>164</v>
      </c>
      <c r="O34" s="79" t="s">
        <v>165</v>
      </c>
      <c r="P34" s="84" t="s">
        <v>144</v>
      </c>
    </row>
    <row r="35" spans="1:16" ht="50.25" customHeight="1" thickBot="1">
      <c r="A35" s="85"/>
      <c r="B35" s="86" t="s">
        <v>69</v>
      </c>
      <c r="C35" s="86"/>
      <c r="D35" s="85"/>
      <c r="E35" s="85"/>
      <c r="F35" s="85"/>
    </row>
    <row r="36" spans="1:16" ht="28.5" customHeight="1">
      <c r="A36" s="85"/>
      <c r="B36" s="531"/>
      <c r="C36" s="532"/>
      <c r="D36" s="532"/>
      <c r="E36" s="532"/>
      <c r="F36" s="532"/>
      <c r="G36" s="278"/>
      <c r="H36" s="304"/>
      <c r="I36" s="280">
        <v>45778</v>
      </c>
      <c r="J36" s="304"/>
      <c r="K36" s="281"/>
      <c r="L36" s="68"/>
      <c r="M36" s="98"/>
      <c r="N36" s="66">
        <v>45413</v>
      </c>
      <c r="O36" s="98"/>
      <c r="P36" s="62"/>
    </row>
    <row r="37" spans="1:16" ht="28.5" customHeight="1" thickBot="1">
      <c r="A37" s="85"/>
      <c r="B37" s="533"/>
      <c r="C37" s="534"/>
      <c r="D37" s="534"/>
      <c r="E37" s="534"/>
      <c r="F37" s="534"/>
      <c r="G37" s="344" t="s">
        <v>12</v>
      </c>
      <c r="H37" s="282" t="s">
        <v>13</v>
      </c>
      <c r="I37" s="370" t="s">
        <v>14</v>
      </c>
      <c r="J37" s="282" t="s">
        <v>15</v>
      </c>
      <c r="K37" s="283" t="s">
        <v>16</v>
      </c>
      <c r="L37" s="348" t="s">
        <v>12</v>
      </c>
      <c r="M37" s="63" t="s">
        <v>13</v>
      </c>
      <c r="N37" s="372" t="s">
        <v>14</v>
      </c>
      <c r="O37" s="63" t="s">
        <v>15</v>
      </c>
      <c r="P37" s="67" t="s">
        <v>16</v>
      </c>
    </row>
    <row r="38" spans="1:16" ht="33.75" customHeight="1">
      <c r="A38" s="85"/>
      <c r="B38" s="89" t="s">
        <v>70</v>
      </c>
      <c r="C38" s="188"/>
      <c r="D38" s="87"/>
      <c r="E38" s="87"/>
      <c r="F38" s="102"/>
      <c r="G38" s="363">
        <f>_EPRCS_VU_69caa1d6_860a_4df6_88de_6c6f27feb280</f>
        <v>26151</v>
      </c>
      <c r="H38" s="305">
        <f>IF(G2="Q1","",_EPRCS_VU_1f692c03_1911_4303_96fd_a48bd0632015)</f>
        <v>27381</v>
      </c>
      <c r="I38" s="338">
        <f>IF(G2="Q1","",IF(G2="Q2","",_EPRCS_VU_e5f4b530_cc69_4d95_b7ff_d30aa0891a72))</f>
        <v>28723</v>
      </c>
      <c r="J38" s="305" t="str">
        <f>IF(G2="Q1","",IF(G2="Q2","",IF(G2="Q3","",_EPRCS_VU_9c7f58e1_a953_4db0_9eac_5d26dbe8c4a4)))</f>
        <v/>
      </c>
      <c r="K38" s="319">
        <f>_EPRCS_VU_29203f3a_ba41_42df_9457_f42c06e4f506</f>
        <v>82256</v>
      </c>
      <c r="L38" s="365">
        <v>20850</v>
      </c>
      <c r="M38" s="88">
        <v>22114</v>
      </c>
      <c r="N38" s="341">
        <v>22046</v>
      </c>
      <c r="O38" s="88">
        <v>25301</v>
      </c>
      <c r="P38" s="103">
        <v>90313</v>
      </c>
    </row>
    <row r="39" spans="1:16" ht="33.75" customHeight="1">
      <c r="A39" s="85"/>
      <c r="B39" s="89" t="s">
        <v>166</v>
      </c>
      <c r="C39" s="188"/>
      <c r="D39" s="87"/>
      <c r="E39" s="87"/>
      <c r="F39" s="102"/>
      <c r="G39" s="363">
        <f>_EPRCS_VU_9d7069ed_74ec_4fad_a244_125353834433</f>
        <v>3014</v>
      </c>
      <c r="H39" s="305">
        <f>IF(G2="Q1","",_EPRCS_VU_69ca8154_e607_4be7_830d_81b9ac6f81b8)</f>
        <v>2641</v>
      </c>
      <c r="I39" s="338">
        <f>IF(G2="Q1","",IF(G2="Q2","",_EPRCS_VU_8542b68e_24cf_4879_be4c_3adfc06ff7cd))</f>
        <v>3225</v>
      </c>
      <c r="J39" s="305" t="str">
        <f>IF(G2="Q1","",IF(G2="Q2","",IF(G2="Q3","",_EPRCS_VU_60342824_cc62_4d14_8d74_37245b68ce74)))</f>
        <v/>
      </c>
      <c r="K39" s="319">
        <f>_EPRCS_VU_27dc82d8_add7_45ae_99e2_50c262189fd7</f>
        <v>8880</v>
      </c>
      <c r="L39" s="365">
        <v>3204</v>
      </c>
      <c r="M39" s="88">
        <v>3695</v>
      </c>
      <c r="N39" s="341">
        <v>3170</v>
      </c>
      <c r="O39" s="88">
        <v>4399</v>
      </c>
      <c r="P39" s="103">
        <v>14469</v>
      </c>
    </row>
    <row r="40" spans="1:16" ht="33.75" customHeight="1">
      <c r="A40" s="85"/>
      <c r="B40" s="89" t="s">
        <v>72</v>
      </c>
      <c r="C40" s="188"/>
      <c r="D40" s="87"/>
      <c r="E40" s="87"/>
      <c r="F40" s="102"/>
      <c r="G40" s="363">
        <f>_EPRCS_VU_acde3c86_dd04_4fc3_93bb_07aa61ff120f</f>
        <v>8505</v>
      </c>
      <c r="H40" s="305">
        <f>IF(G2="Q1","",_EPRCS_VU_0c523b3c_8cab_4e63_919e_9bdb60fa1a57)</f>
        <v>8945</v>
      </c>
      <c r="I40" s="338">
        <f>IF(G2="Q1","",IF(G2="Q2","",_EPRCS_VU_bd8761ca_a868_48f1_b4ab_c0a23d874f6d))</f>
        <v>8175</v>
      </c>
      <c r="J40" s="305" t="str">
        <f>IF(G2="Q1","",IF(G2="Q2","",IF(G2="Q3","",_EPRCS_VU_5d455328_e71f_44db_a403_f64e35b60a8e)))</f>
        <v/>
      </c>
      <c r="K40" s="319">
        <f>_EPRCS_VU_c6ce7bbc_cdae_42cd_a202_e1405a729e3f</f>
        <v>25626</v>
      </c>
      <c r="L40" s="365">
        <v>7857</v>
      </c>
      <c r="M40" s="88">
        <v>7975</v>
      </c>
      <c r="N40" s="341">
        <v>8207</v>
      </c>
      <c r="O40" s="88">
        <v>8215</v>
      </c>
      <c r="P40" s="103">
        <v>32256</v>
      </c>
    </row>
    <row r="41" spans="1:16" ht="33.75" customHeight="1">
      <c r="A41" s="85"/>
      <c r="B41" s="89" t="s">
        <v>73</v>
      </c>
      <c r="C41" s="188"/>
      <c r="D41" s="87"/>
      <c r="E41" s="87"/>
      <c r="F41" s="102"/>
      <c r="G41" s="363">
        <f>_EPRCS_VU_8afa72ce_32b7_4d14_8d66_053f3d93cd7f</f>
        <v>5516</v>
      </c>
      <c r="H41" s="305">
        <f>IF(G2="Q1","",_EPRCS_VU_29484235_de3d_4c2f_9496_b6e01826d6af)</f>
        <v>5991</v>
      </c>
      <c r="I41" s="338">
        <f>IF(G2="Q1","",IF(G2="Q2","",_EPRCS_VU_959b6fcc_39b1_4f29_83a4_5ac89df810ff))</f>
        <v>5576</v>
      </c>
      <c r="J41" s="305" t="str">
        <f>IF(G2="Q1","",IF(G2="Q2","",IF(G2="Q3","",_EPRCS_VU_61d2edfb_5563_4ee4_81c1_23fd1722f00d)))</f>
        <v/>
      </c>
      <c r="K41" s="319">
        <f>_EPRCS_VU_fe1078ef_96e6_4250_a993_df3bbc0cb754</f>
        <v>17085</v>
      </c>
      <c r="L41" s="365">
        <v>5226</v>
      </c>
      <c r="M41" s="88">
        <v>4658</v>
      </c>
      <c r="N41" s="341">
        <v>4817</v>
      </c>
      <c r="O41" s="88">
        <v>5615</v>
      </c>
      <c r="P41" s="103">
        <v>20317</v>
      </c>
    </row>
    <row r="42" spans="1:16" ht="33.75" customHeight="1">
      <c r="A42" s="85"/>
      <c r="B42" s="89" t="s">
        <v>74</v>
      </c>
      <c r="C42" s="188"/>
      <c r="D42" s="87"/>
      <c r="E42" s="87"/>
      <c r="F42" s="102"/>
      <c r="G42" s="363">
        <f>_EPRCS_VU_7e392f0d_a9f0_487f_817f_56aea6c5ba8c</f>
        <v>601</v>
      </c>
      <c r="H42" s="305">
        <f>IF(G2="Q1","",_EPRCS_VU_71710aac_ab66_4385_a7bc_dfe6ad081f25)</f>
        <v>531</v>
      </c>
      <c r="I42" s="338">
        <f>IF(G2="Q1","",IF(G2="Q2","",_EPRCS_VU_8ec215d8_cc8f_4dc5_bf24_669f920ffc3e))</f>
        <v>624</v>
      </c>
      <c r="J42" s="305" t="str">
        <f>IF(G2="Q1","",IF(G2="Q2","",IF(G2="Q3","",_EPRCS_VU_34800935_5382_44b0_ad8f_d2312dd1b04a)))</f>
        <v/>
      </c>
      <c r="K42" s="319">
        <f>_EPRCS_VU_136843a8_bedf_448d_bd88_ec14a882b618</f>
        <v>1757</v>
      </c>
      <c r="L42" s="365">
        <v>606</v>
      </c>
      <c r="M42" s="88">
        <v>419</v>
      </c>
      <c r="N42" s="341">
        <v>717</v>
      </c>
      <c r="O42" s="88">
        <v>431</v>
      </c>
      <c r="P42" s="103">
        <v>2174</v>
      </c>
    </row>
    <row r="43" spans="1:16" ht="33.75" customHeight="1">
      <c r="A43" s="85"/>
      <c r="B43" s="89" t="s">
        <v>75</v>
      </c>
      <c r="C43" s="188"/>
      <c r="D43" s="87"/>
      <c r="E43" s="87"/>
      <c r="F43" s="102"/>
      <c r="G43" s="363">
        <v>1463</v>
      </c>
      <c r="H43" s="305">
        <v>1301</v>
      </c>
      <c r="I43" s="338">
        <v>1532</v>
      </c>
      <c r="J43" s="305" t="str">
        <f>IF(G2="Q1","",IF(G2="Q2","",IF(G2="Q3","",_EPRCS_VU_4127291b_ae1c_4264_a5b1_372a795a74a6)))</f>
        <v/>
      </c>
      <c r="K43" s="319">
        <v>4297</v>
      </c>
      <c r="L43" s="365">
        <v>1158</v>
      </c>
      <c r="M43" s="88">
        <v>1330</v>
      </c>
      <c r="N43" s="341">
        <v>1119</v>
      </c>
      <c r="O43" s="88">
        <v>1581</v>
      </c>
      <c r="P43" s="103">
        <v>5190</v>
      </c>
    </row>
    <row r="44" spans="1:16" ht="33.75" customHeight="1" thickBot="1">
      <c r="A44" s="85"/>
      <c r="B44" s="92" t="s">
        <v>76</v>
      </c>
      <c r="C44" s="189"/>
      <c r="D44" s="93"/>
      <c r="E44" s="310"/>
      <c r="F44" s="311"/>
      <c r="G44" s="364">
        <f>_EPRCS_VU_146f060c_8a8a_4cc2_87e8_55f4589edb1d</f>
        <v>45147</v>
      </c>
      <c r="H44" s="306">
        <f>IF(G2="Q1","",_EPRCS_VU_33384c7d_9027_4760_a9d1_bf8d6f58182b)</f>
        <v>46870</v>
      </c>
      <c r="I44" s="339">
        <f>IF(G2="Q1","",IF(G2="Q2","",_EPRCS_VU_d1e18c32_a619_435e_b8d2_ea4e3d820547))</f>
        <v>47628</v>
      </c>
      <c r="J44" s="306" t="str">
        <f>IF(G2="Q1","",IF(G2="Q2","",IF(G2="Q3","",_EPRCS_VU_6f5e0c26_c312_4d0e_a191_16b7191bd952)))</f>
        <v/>
      </c>
      <c r="K44" s="307">
        <f>_EPRCS_VU_d84da435_08c8_4eb1_be14_fd64f6bb40f6</f>
        <v>139647</v>
      </c>
      <c r="L44" s="366">
        <v>38903</v>
      </c>
      <c r="M44" s="94">
        <v>40193</v>
      </c>
      <c r="N44" s="342">
        <v>40079</v>
      </c>
      <c r="O44" s="94">
        <v>45545</v>
      </c>
      <c r="P44" s="104">
        <v>164722</v>
      </c>
    </row>
    <row r="45" spans="1:16">
      <c r="B45" s="4" t="s">
        <v>77</v>
      </c>
      <c r="C45" s="4"/>
    </row>
    <row r="46" spans="1:16" ht="15.4" customHeight="1" thickBot="1">
      <c r="A46" s="85"/>
      <c r="B46" s="86"/>
      <c r="C46" s="86"/>
      <c r="D46" s="85"/>
      <c r="E46" s="85"/>
      <c r="F46" s="85"/>
    </row>
    <row r="47" spans="1:16" ht="28.5" customHeight="1">
      <c r="A47" s="85"/>
      <c r="B47" s="531"/>
      <c r="C47" s="532"/>
      <c r="D47" s="532"/>
      <c r="E47" s="532"/>
      <c r="F47" s="532"/>
      <c r="G47" s="278"/>
      <c r="H47" s="304"/>
      <c r="I47" s="280">
        <v>45778</v>
      </c>
      <c r="J47" s="304"/>
      <c r="K47" s="281"/>
      <c r="L47" s="68"/>
      <c r="M47" s="98"/>
      <c r="N47" s="66">
        <v>45413</v>
      </c>
      <c r="O47" s="98"/>
      <c r="P47" s="62"/>
    </row>
    <row r="48" spans="1:16" ht="28.5" customHeight="1" thickBot="1">
      <c r="A48" s="85"/>
      <c r="B48" s="533"/>
      <c r="C48" s="534"/>
      <c r="D48" s="534"/>
      <c r="E48" s="534"/>
      <c r="F48" s="534"/>
      <c r="G48" s="344" t="s">
        <v>12</v>
      </c>
      <c r="H48" s="282" t="s">
        <v>13</v>
      </c>
      <c r="I48" s="370" t="s">
        <v>14</v>
      </c>
      <c r="J48" s="282" t="s">
        <v>15</v>
      </c>
      <c r="K48" s="283"/>
      <c r="L48" s="348" t="s">
        <v>12</v>
      </c>
      <c r="M48" s="63" t="s">
        <v>13</v>
      </c>
      <c r="N48" s="372" t="s">
        <v>14</v>
      </c>
      <c r="O48" s="63" t="s">
        <v>15</v>
      </c>
      <c r="P48" s="67"/>
    </row>
    <row r="49" spans="1:16" ht="33.75" customHeight="1" thickBot="1">
      <c r="A49" s="85"/>
      <c r="B49" s="312" t="s">
        <v>78</v>
      </c>
      <c r="C49" s="313"/>
      <c r="D49" s="314"/>
      <c r="E49" s="314"/>
      <c r="F49" s="315"/>
      <c r="G49" s="367">
        <v>2248</v>
      </c>
      <c r="H49" s="316">
        <v>2257</v>
      </c>
      <c r="I49" s="340">
        <v>2253</v>
      </c>
      <c r="J49" s="316"/>
      <c r="K49" s="317" t="s">
        <v>79</v>
      </c>
      <c r="L49" s="368">
        <v>2346</v>
      </c>
      <c r="M49" s="318">
        <v>2296</v>
      </c>
      <c r="N49" s="343">
        <v>2268</v>
      </c>
      <c r="O49" s="318">
        <v>2257</v>
      </c>
      <c r="P49" s="317" t="s">
        <v>79</v>
      </c>
    </row>
  </sheetData>
  <mergeCells count="20">
    <mergeCell ref="B23:F24"/>
    <mergeCell ref="B3:F4"/>
    <mergeCell ref="B5:B12"/>
    <mergeCell ref="C5:C8"/>
    <mergeCell ref="D5:F6"/>
    <mergeCell ref="D7:F8"/>
    <mergeCell ref="C9:F10"/>
    <mergeCell ref="C11:F12"/>
    <mergeCell ref="B13:F14"/>
    <mergeCell ref="B15:F16"/>
    <mergeCell ref="B17:F18"/>
    <mergeCell ref="B19:F20"/>
    <mergeCell ref="B21:P21"/>
    <mergeCell ref="B47:F48"/>
    <mergeCell ref="B25:F26"/>
    <mergeCell ref="B27:F28"/>
    <mergeCell ref="B29:F30"/>
    <mergeCell ref="B31:F32"/>
    <mergeCell ref="B33:F34"/>
    <mergeCell ref="B36:F37"/>
  </mergeCells>
  <phoneticPr fontId="2"/>
  <printOptions horizontalCentered="1" verticalCentered="1"/>
  <pageMargins left="0.23622047244094499" right="0.196850393700787" top="0.27559055118110198" bottom="0.31496062992126" header="0.511811023622047" footer="0.15748031496063"/>
  <pageSetup paperSize="9" scale="42" orientation="landscape" r:id="rId1"/>
  <headerFooter alignWithMargins="0"/>
  <rowBreaks count="1" manualBreakCount="1">
    <brk id="1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60" zoomScaleNormal="85" workbookViewId="0"/>
  </sheetViews>
  <sheetFormatPr defaultColWidth="9" defaultRowHeight="20.25" customHeight="1"/>
  <cols>
    <col min="1" max="1" width="4.1328125" style="4" customWidth="1"/>
    <col min="2" max="2" width="2.59765625" style="4" customWidth="1"/>
    <col min="3" max="3" width="40.3984375" style="4" customWidth="1"/>
    <col min="4" max="5" width="16.1328125" style="4" customWidth="1"/>
    <col min="6" max="9" width="16.1328125" style="20" customWidth="1"/>
    <col min="10" max="10" width="17" style="4" customWidth="1"/>
    <col min="11" max="19" width="17.1328125" style="4" customWidth="1"/>
    <col min="20" max="16384" width="9" style="4"/>
  </cols>
  <sheetData>
    <row r="1" spans="3:19" ht="21.75" customHeight="1">
      <c r="C1" s="3" t="s">
        <v>167</v>
      </c>
      <c r="D1" s="16"/>
      <c r="E1" s="16"/>
      <c r="F1" s="17"/>
      <c r="G1" s="17"/>
      <c r="H1" s="17"/>
      <c r="I1" s="17"/>
      <c r="J1" s="18"/>
      <c r="K1" s="19"/>
      <c r="L1" s="19"/>
      <c r="M1" s="19"/>
      <c r="N1" s="19"/>
      <c r="O1" s="19"/>
      <c r="P1" s="19"/>
      <c r="Q1" s="19"/>
      <c r="R1" s="19"/>
      <c r="S1" s="19"/>
    </row>
    <row r="2" spans="3:19" ht="21.75" customHeight="1">
      <c r="C2" s="42"/>
      <c r="D2" s="43"/>
      <c r="E2" s="43"/>
      <c r="F2" s="44"/>
      <c r="G2" s="44"/>
      <c r="H2" s="44"/>
      <c r="J2" s="26"/>
    </row>
    <row r="3" spans="3:19" ht="20.25" customHeight="1">
      <c r="C3" s="45"/>
      <c r="D3" s="46"/>
      <c r="E3" s="46"/>
      <c r="F3" s="44"/>
      <c r="G3" s="44"/>
      <c r="H3" s="44"/>
      <c r="I3" s="13"/>
    </row>
    <row r="4" spans="3:19" ht="11.25" customHeight="1">
      <c r="C4" s="47"/>
      <c r="D4" s="46"/>
      <c r="E4" s="46"/>
      <c r="F4" s="44"/>
      <c r="G4" s="44"/>
      <c r="H4" s="44"/>
    </row>
    <row r="5" spans="3:19" ht="20.25" customHeight="1">
      <c r="C5" s="46"/>
      <c r="D5" s="46"/>
      <c r="E5" s="46"/>
      <c r="F5" s="44"/>
      <c r="G5" s="44"/>
      <c r="H5" s="44"/>
    </row>
    <row r="6" spans="3:19" ht="20.25" customHeight="1">
      <c r="C6" s="46"/>
      <c r="D6" s="46"/>
      <c r="E6" s="46"/>
      <c r="F6" s="44"/>
      <c r="G6" s="44"/>
      <c r="H6" s="44"/>
    </row>
    <row r="7" spans="3:19" ht="20.25" customHeight="1">
      <c r="C7" s="46"/>
      <c r="D7" s="46"/>
      <c r="E7" s="46"/>
      <c r="F7" s="44"/>
      <c r="G7" s="176"/>
      <c r="H7" s="44"/>
    </row>
    <row r="8" spans="3:19" ht="20.25" customHeight="1">
      <c r="C8" s="46"/>
      <c r="D8" s="46"/>
      <c r="E8" s="46"/>
      <c r="F8" s="44"/>
      <c r="G8" s="44"/>
      <c r="H8" s="44"/>
    </row>
    <row r="9" spans="3:19" ht="20.25" customHeight="1">
      <c r="C9" s="46"/>
      <c r="D9" s="46"/>
      <c r="E9" s="46"/>
      <c r="F9" s="44"/>
      <c r="G9" s="44"/>
      <c r="H9" s="44"/>
    </row>
    <row r="10" spans="3:19" ht="20.25" customHeight="1">
      <c r="C10" s="46"/>
      <c r="D10" s="46"/>
      <c r="E10" s="46"/>
      <c r="F10" s="44"/>
      <c r="G10" s="44"/>
      <c r="H10" s="44"/>
    </row>
    <row r="11" spans="3:19" ht="20.25" customHeight="1">
      <c r="C11" s="46"/>
      <c r="D11" s="46"/>
      <c r="E11" s="46"/>
      <c r="F11" s="44"/>
      <c r="G11" s="44"/>
      <c r="H11" s="44"/>
    </row>
    <row r="12" spans="3:19" ht="20.25" customHeight="1">
      <c r="C12" s="46"/>
      <c r="D12" s="46"/>
      <c r="E12" s="46"/>
      <c r="F12" s="44"/>
      <c r="G12" s="44"/>
      <c r="H12" s="44"/>
    </row>
    <row r="13" spans="3:19" ht="20.25" customHeight="1">
      <c r="C13" s="46"/>
      <c r="D13" s="46"/>
      <c r="E13" s="46"/>
      <c r="F13" s="44"/>
      <c r="G13" s="44"/>
      <c r="H13" s="44"/>
    </row>
    <row r="14" spans="3:19" ht="20.25" customHeight="1">
      <c r="C14" s="46"/>
      <c r="D14" s="46"/>
      <c r="E14" s="46"/>
      <c r="F14" s="44"/>
      <c r="G14" s="44"/>
      <c r="H14" s="44"/>
    </row>
    <row r="15" spans="3:19" ht="20.25" customHeight="1">
      <c r="C15" s="46"/>
      <c r="D15" s="46"/>
      <c r="E15" s="46"/>
      <c r="F15" s="44"/>
      <c r="G15" s="44"/>
      <c r="H15" s="44"/>
    </row>
    <row r="16" spans="3:19" ht="20.25" customHeight="1">
      <c r="C16" s="46"/>
      <c r="D16" s="46"/>
      <c r="E16" s="46"/>
      <c r="F16" s="44"/>
      <c r="G16" s="44"/>
      <c r="H16" s="44"/>
    </row>
    <row r="17" spans="3:8" ht="20.25" customHeight="1">
      <c r="C17" s="46"/>
      <c r="D17" s="46"/>
      <c r="E17" s="46"/>
      <c r="F17" s="44"/>
      <c r="G17" s="44"/>
      <c r="H17" s="44"/>
    </row>
    <row r="18" spans="3:8" ht="20.25" customHeight="1">
      <c r="C18" s="46"/>
      <c r="D18" s="46"/>
      <c r="E18" s="46"/>
      <c r="F18" s="44"/>
      <c r="G18" s="44"/>
      <c r="H18" s="44"/>
    </row>
    <row r="19" spans="3:8" ht="20.25" customHeight="1">
      <c r="C19" s="46"/>
      <c r="D19" s="46"/>
      <c r="E19" s="46"/>
      <c r="F19" s="44"/>
      <c r="G19" s="44"/>
      <c r="H19" s="44"/>
    </row>
    <row r="20" spans="3:8" ht="20.25" customHeight="1">
      <c r="C20" s="46"/>
      <c r="D20" s="46"/>
      <c r="E20" s="46"/>
      <c r="F20" s="44"/>
      <c r="G20" s="44"/>
      <c r="H20" s="44"/>
    </row>
    <row r="21" spans="3:8" ht="20.25" customHeight="1">
      <c r="C21" s="46"/>
      <c r="D21" s="46"/>
      <c r="E21" s="46"/>
      <c r="F21" s="44"/>
      <c r="G21" s="44"/>
      <c r="H21" s="44"/>
    </row>
    <row r="22" spans="3:8" ht="20.25" customHeight="1">
      <c r="C22" s="46"/>
      <c r="D22" s="46"/>
      <c r="E22" s="46"/>
      <c r="F22" s="44"/>
      <c r="G22" s="44"/>
      <c r="H22" s="44"/>
    </row>
    <row r="23" spans="3:8" ht="20.25" customHeight="1">
      <c r="C23" s="46"/>
      <c r="D23" s="46"/>
      <c r="E23" s="46"/>
      <c r="F23" s="44"/>
      <c r="G23" s="44"/>
      <c r="H23" s="44"/>
    </row>
    <row r="24" spans="3:8" ht="20.25" customHeight="1">
      <c r="C24" s="46"/>
      <c r="D24" s="46"/>
      <c r="E24" s="46"/>
      <c r="F24" s="44"/>
      <c r="G24" s="44"/>
      <c r="H24" s="44"/>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73" zoomScaleNormal="85" zoomScaleSheetLayoutView="73" workbookViewId="0"/>
  </sheetViews>
  <sheetFormatPr defaultColWidth="9" defaultRowHeight="20.25" customHeight="1"/>
  <cols>
    <col min="1" max="1" width="2.59765625" style="4" customWidth="1"/>
    <col min="2" max="2" width="2.86328125" style="20" customWidth="1"/>
    <col min="3" max="3" width="16.1328125" style="20" customWidth="1"/>
    <col min="4" max="4" width="17" style="4" customWidth="1"/>
    <col min="5" max="13" width="17.1328125" style="4" customWidth="1"/>
    <col min="14" max="16384" width="9" style="4"/>
  </cols>
  <sheetData>
    <row r="1" spans="2:13" ht="21.75" customHeight="1">
      <c r="B1" s="17"/>
      <c r="C1" s="3" t="s">
        <v>168</v>
      </c>
      <c r="D1" s="18"/>
      <c r="E1" s="19"/>
      <c r="F1" s="19"/>
      <c r="G1" s="19"/>
      <c r="H1" s="19"/>
      <c r="I1" s="19"/>
      <c r="J1" s="19"/>
      <c r="K1" s="19"/>
      <c r="L1" s="19"/>
      <c r="M1" s="19"/>
    </row>
    <row r="2" spans="2:13" ht="21.75" customHeight="1">
      <c r="B2" s="44"/>
      <c r="C2" s="44"/>
      <c r="D2" s="48"/>
      <c r="E2" s="46"/>
      <c r="F2" s="46"/>
      <c r="G2" s="46"/>
      <c r="H2" s="46"/>
      <c r="I2" s="46"/>
    </row>
    <row r="3" spans="2:13" ht="20.25" customHeight="1">
      <c r="B3" s="44"/>
      <c r="C3" s="45"/>
      <c r="D3" s="46"/>
      <c r="E3" s="46"/>
      <c r="F3" s="46"/>
      <c r="G3" s="46"/>
      <c r="H3" s="46"/>
      <c r="I3" s="46"/>
    </row>
    <row r="4" spans="2:13" ht="11.25" customHeight="1">
      <c r="B4" s="44"/>
      <c r="C4" s="44"/>
      <c r="D4" s="46"/>
      <c r="E4" s="46"/>
      <c r="F4" s="46"/>
      <c r="G4" s="46"/>
      <c r="H4" s="46"/>
      <c r="I4" s="46"/>
    </row>
    <row r="5" spans="2:13" ht="20.25" customHeight="1">
      <c r="B5" s="44"/>
      <c r="C5" s="44"/>
      <c r="D5" s="46"/>
      <c r="E5" s="46"/>
      <c r="F5" s="46"/>
      <c r="G5" s="46"/>
      <c r="H5" s="46"/>
      <c r="I5" s="46"/>
    </row>
    <row r="6" spans="2:13" ht="20.25" customHeight="1">
      <c r="B6" s="44"/>
      <c r="C6" s="44"/>
      <c r="D6" s="46"/>
      <c r="E6" s="46"/>
      <c r="F6" s="46"/>
      <c r="G6" s="46"/>
      <c r="H6" s="46"/>
      <c r="I6" s="46"/>
    </row>
    <row r="7" spans="2:13" ht="20.25" customHeight="1">
      <c r="B7" s="44"/>
      <c r="C7" s="44"/>
      <c r="D7" s="46"/>
      <c r="E7" s="46"/>
      <c r="F7" s="46"/>
      <c r="G7" s="46"/>
      <c r="H7" s="46"/>
      <c r="I7" s="46"/>
    </row>
    <row r="8" spans="2:13" ht="20.25" customHeight="1">
      <c r="B8" s="44"/>
      <c r="C8" s="44"/>
      <c r="D8" s="46"/>
      <c r="E8" s="46"/>
      <c r="F8" s="46"/>
      <c r="G8" s="46"/>
      <c r="H8" s="46"/>
      <c r="I8" s="46"/>
    </row>
    <row r="9" spans="2:13" ht="20.25" customHeight="1">
      <c r="B9" s="44"/>
      <c r="C9" s="44"/>
      <c r="D9" s="46"/>
      <c r="E9" s="46"/>
      <c r="F9" s="46"/>
      <c r="G9" s="46"/>
      <c r="H9" s="46"/>
      <c r="I9" s="46"/>
    </row>
    <row r="10" spans="2:13" ht="20.25" customHeight="1">
      <c r="B10" s="44"/>
      <c r="C10" s="44"/>
      <c r="D10" s="46"/>
      <c r="E10" s="46"/>
      <c r="F10" s="46"/>
      <c r="G10" s="46"/>
      <c r="H10" s="46"/>
      <c r="I10" s="46"/>
    </row>
    <row r="11" spans="2:13" ht="20.25" customHeight="1">
      <c r="B11" s="44"/>
      <c r="C11" s="44"/>
      <c r="D11" s="46"/>
      <c r="E11" s="46"/>
      <c r="F11" s="46"/>
      <c r="G11" s="46"/>
      <c r="H11" s="46"/>
      <c r="I11" s="46"/>
    </row>
    <row r="12" spans="2:13" ht="20.25" customHeight="1">
      <c r="B12" s="44"/>
      <c r="C12" s="44"/>
      <c r="D12" s="46"/>
      <c r="E12" s="46"/>
      <c r="F12" s="46"/>
      <c r="G12" s="46"/>
      <c r="H12" s="46"/>
      <c r="I12" s="46"/>
    </row>
    <row r="13" spans="2:13" ht="20.25" customHeight="1">
      <c r="B13" s="44"/>
      <c r="C13" s="44"/>
      <c r="D13" s="46"/>
      <c r="E13" s="46"/>
      <c r="F13" s="46"/>
      <c r="G13" s="46"/>
      <c r="H13" s="46"/>
      <c r="I13" s="46"/>
    </row>
    <row r="14" spans="2:13" ht="20.25" customHeight="1">
      <c r="B14" s="44"/>
      <c r="C14" s="44"/>
      <c r="D14" s="46"/>
      <c r="E14" s="46"/>
      <c r="F14" s="46"/>
      <c r="G14" s="46"/>
      <c r="H14" s="46"/>
      <c r="I14" s="46"/>
    </row>
    <row r="15" spans="2:13" ht="20.25" customHeight="1">
      <c r="B15" s="44"/>
      <c r="C15" s="44"/>
      <c r="D15" s="46"/>
      <c r="E15" s="46"/>
      <c r="F15" s="46"/>
      <c r="G15" s="46"/>
      <c r="H15" s="46"/>
      <c r="I15" s="46"/>
    </row>
    <row r="16" spans="2:13" ht="20.25" customHeight="1">
      <c r="B16" s="44"/>
      <c r="C16" s="44"/>
      <c r="D16" s="46"/>
      <c r="E16" s="46"/>
      <c r="F16" s="46"/>
      <c r="G16" s="46"/>
      <c r="H16" s="46"/>
      <c r="I16" s="46"/>
    </row>
    <row r="17" spans="2:9" ht="20.25" customHeight="1">
      <c r="B17" s="44"/>
      <c r="C17" s="44"/>
      <c r="D17" s="46"/>
      <c r="E17" s="46"/>
      <c r="F17" s="46"/>
      <c r="G17" s="46"/>
      <c r="H17" s="46"/>
      <c r="I17" s="46"/>
    </row>
    <row r="18" spans="2:9" ht="20.25" customHeight="1">
      <c r="B18" s="44"/>
      <c r="C18" s="44"/>
      <c r="D18" s="46"/>
      <c r="E18" s="46"/>
      <c r="F18" s="46"/>
      <c r="G18" s="46"/>
      <c r="H18" s="46"/>
      <c r="I18" s="46"/>
    </row>
    <row r="19" spans="2:9" ht="20.25" customHeight="1">
      <c r="B19" s="44"/>
      <c r="C19" s="44"/>
      <c r="D19" s="46"/>
      <c r="E19" s="46"/>
      <c r="F19" s="46"/>
      <c r="G19" s="46"/>
      <c r="H19" s="46"/>
      <c r="I19" s="46"/>
    </row>
    <row r="20" spans="2:9" ht="20.25" customHeight="1">
      <c r="B20" s="44"/>
      <c r="C20" s="44"/>
      <c r="D20" s="46"/>
      <c r="E20" s="46"/>
      <c r="F20" s="46"/>
      <c r="G20" s="46"/>
      <c r="H20" s="46"/>
      <c r="I20" s="46"/>
    </row>
    <row r="21" spans="2:9" ht="20.25" customHeight="1">
      <c r="B21" s="44"/>
      <c r="C21" s="44"/>
      <c r="D21" s="46"/>
      <c r="E21" s="46"/>
      <c r="F21" s="46"/>
      <c r="G21" s="46"/>
      <c r="H21" s="46"/>
      <c r="I21" s="46"/>
    </row>
    <row r="22" spans="2:9" ht="20.25" customHeight="1">
      <c r="B22" s="44"/>
      <c r="C22" s="44"/>
      <c r="D22" s="46"/>
      <c r="E22" s="46"/>
      <c r="F22" s="46"/>
      <c r="G22" s="46"/>
      <c r="H22" s="46"/>
      <c r="I22" s="46"/>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1"/>
  <sheetViews>
    <sheetView showGridLines="0" view="pageBreakPreview" topLeftCell="A6" zoomScale="55" zoomScaleNormal="70" zoomScaleSheetLayoutView="55" workbookViewId="0">
      <pane xSplit="3" topLeftCell="D1" activePane="topRight" state="frozen"/>
      <selection pane="topRight"/>
    </sheetView>
  </sheetViews>
  <sheetFormatPr defaultColWidth="9" defaultRowHeight="20.25" customHeight="1"/>
  <cols>
    <col min="1" max="1" width="3.1328125" style="29" customWidth="1"/>
    <col min="2" max="2" width="3.86328125" style="29" customWidth="1"/>
    <col min="3" max="3" width="50.86328125" style="29" customWidth="1"/>
    <col min="4" max="5" width="13.59765625" style="33" customWidth="1"/>
    <col min="6" max="6" width="13.59765625" style="34" customWidth="1"/>
    <col min="7" max="7" width="13.59765625" style="99" customWidth="1"/>
    <col min="8" max="10" width="13.59765625" style="33" customWidth="1"/>
    <col min="11" max="11" width="13.59765625" style="35" customWidth="1"/>
    <col min="12" max="13" width="13.59765625" style="27" customWidth="1"/>
    <col min="14" max="15" width="13.59765625" style="33" customWidth="1"/>
    <col min="16" max="16" width="13.59765625" style="35" customWidth="1"/>
    <col min="17" max="17" width="13.59765625" style="27" customWidth="1"/>
    <col min="18" max="16384" width="9" style="27"/>
  </cols>
  <sheetData>
    <row r="1" spans="1:17" ht="23.1" customHeight="1">
      <c r="B1" s="153" t="s">
        <v>169</v>
      </c>
      <c r="C1" s="154"/>
      <c r="D1" s="30"/>
      <c r="E1" s="30"/>
      <c r="F1" s="31"/>
      <c r="G1" s="31"/>
      <c r="H1" s="30"/>
      <c r="I1" s="30"/>
      <c r="J1" s="30"/>
      <c r="K1" s="32"/>
      <c r="L1" s="31"/>
      <c r="M1" s="95"/>
      <c r="N1" s="30"/>
      <c r="O1" s="30"/>
      <c r="P1" s="32"/>
      <c r="Q1" s="30"/>
    </row>
    <row r="2" spans="1:17" ht="20.25" customHeight="1" thickBot="1">
      <c r="B2" s="173" t="str">
        <f>_EPRCS_VU_d2fb5d56_16c7_415f_b77b_46eb22c1ecce</f>
        <v>Q3</v>
      </c>
      <c r="C2" s="134"/>
      <c r="F2" s="27"/>
      <c r="H2" s="96"/>
      <c r="J2" s="377"/>
      <c r="M2" s="96" t="s">
        <v>170</v>
      </c>
    </row>
    <row r="3" spans="1:17" s="37" customFormat="1" ht="25.5" customHeight="1">
      <c r="A3" s="36"/>
      <c r="B3" s="155"/>
      <c r="C3" s="156"/>
      <c r="D3" s="184"/>
      <c r="E3" s="186"/>
      <c r="F3" s="309">
        <v>46143</v>
      </c>
      <c r="G3" s="174"/>
      <c r="H3" s="175">
        <v>45047</v>
      </c>
      <c r="I3" s="213"/>
      <c r="J3" s="213"/>
      <c r="K3" s="214">
        <v>45778</v>
      </c>
      <c r="L3" s="215"/>
      <c r="M3" s="216">
        <v>45778</v>
      </c>
      <c r="N3" s="217">
        <v>45413</v>
      </c>
      <c r="O3" s="218">
        <v>45047</v>
      </c>
      <c r="P3" s="218">
        <v>44682</v>
      </c>
      <c r="Q3" s="219">
        <v>44317</v>
      </c>
    </row>
    <row r="4" spans="1:17" s="39" customFormat="1" ht="25.5" customHeight="1" thickBot="1">
      <c r="A4" s="38"/>
      <c r="B4" s="157"/>
      <c r="C4" s="134"/>
      <c r="D4" s="428" t="s">
        <v>12</v>
      </c>
      <c r="E4" s="488" t="s">
        <v>13</v>
      </c>
      <c r="F4" s="463" t="s">
        <v>14</v>
      </c>
      <c r="G4" s="378" t="s">
        <v>15</v>
      </c>
      <c r="H4" s="106" t="s">
        <v>16</v>
      </c>
      <c r="I4" s="441" t="s">
        <v>12</v>
      </c>
      <c r="J4" s="220" t="s">
        <v>13</v>
      </c>
      <c r="K4" s="475" t="s">
        <v>14</v>
      </c>
      <c r="L4" s="220" t="s">
        <v>15</v>
      </c>
      <c r="M4" s="221" t="s">
        <v>16</v>
      </c>
      <c r="N4" s="222" t="s">
        <v>16</v>
      </c>
      <c r="O4" s="220" t="s">
        <v>16</v>
      </c>
      <c r="P4" s="220" t="s">
        <v>16</v>
      </c>
      <c r="Q4" s="223" t="s">
        <v>16</v>
      </c>
    </row>
    <row r="5" spans="1:17" s="39" customFormat="1" ht="33.75" customHeight="1">
      <c r="A5" s="38"/>
      <c r="B5" s="158" t="s">
        <v>171</v>
      </c>
      <c r="C5" s="159"/>
      <c r="D5" s="429">
        <f>_EPRCS_VU_bdec0a6c_7ea8_441e_8fd4_da9adc5d1936</f>
        <v>66275</v>
      </c>
      <c r="E5" s="489">
        <f>IF(B2="Q1","",_EPRCS_VU_a9e05884_1882_4b19_9064_aaaa737a84e1)</f>
        <v>68401</v>
      </c>
      <c r="F5" s="464">
        <f>IF(B2="Q1","",IF(B2="Q2","",_EPRCS_VU_52229cca_45fc_4f6d_bcae_a9a8440199f2))</f>
        <v>71993</v>
      </c>
      <c r="G5" s="379" t="str">
        <f>IF(B2="Q1","",IF(B2="Q2","",IF(B2="Q3","",_EPRCS_VU_6704a2cb_635a_49c2_afbf_76d3a8cb3d01)))</f>
        <v/>
      </c>
      <c r="H5" s="130">
        <f>_EPRCS_VU_853e6c8c_88b3_4797_b3ae_00543c0851cf</f>
        <v>206670</v>
      </c>
      <c r="I5" s="442">
        <v>63915</v>
      </c>
      <c r="J5" s="224">
        <v>61379</v>
      </c>
      <c r="K5" s="476">
        <v>67597</v>
      </c>
      <c r="L5" s="224">
        <v>70618</v>
      </c>
      <c r="M5" s="225">
        <v>263510</v>
      </c>
      <c r="N5" s="226">
        <v>244542</v>
      </c>
      <c r="O5" s="224">
        <v>226914</v>
      </c>
      <c r="P5" s="224">
        <v>214691</v>
      </c>
      <c r="Q5" s="227">
        <v>208523</v>
      </c>
    </row>
    <row r="6" spans="1:17" ht="33.75" customHeight="1">
      <c r="B6" s="158" t="s">
        <v>172</v>
      </c>
      <c r="C6" s="159"/>
      <c r="D6" s="430">
        <f>_EPRCS_VU_fdcdb9d6_f966_417f_9fb5_bbade45180f7</f>
        <v>36666</v>
      </c>
      <c r="E6" s="490">
        <f>IF(B2="Q1","",_EPRCS_VU_46baeb72_026e_4bdb_a8f7_bad38e81d238)</f>
        <v>37593</v>
      </c>
      <c r="F6" s="465">
        <f>IF(B2="Q1","",IF(B2="Q2","",_EPRCS_VU_292d5c8b_87d0_470b_9e1c_6ff0352eef94))</f>
        <v>39574</v>
      </c>
      <c r="G6" s="380" t="str">
        <f>IF(B2="Q1","",IF(B2="Q2","",IF(B2="Q3","",_EPRCS_VU_7e42843d_4ff4_410e_9878_3fd2f8b07b8f)))</f>
        <v/>
      </c>
      <c r="H6" s="416">
        <f>_EPRCS_VU_d9fc5c9d_262d_4cf4_a8ba_8d9450633aa0</f>
        <v>113835</v>
      </c>
      <c r="I6" s="443">
        <v>33500</v>
      </c>
      <c r="J6" s="228">
        <v>33390</v>
      </c>
      <c r="K6" s="477">
        <v>36747</v>
      </c>
      <c r="L6" s="228">
        <v>38485</v>
      </c>
      <c r="M6" s="229">
        <v>142123</v>
      </c>
      <c r="N6" s="230">
        <v>130996</v>
      </c>
      <c r="O6" s="228">
        <v>118622</v>
      </c>
      <c r="P6" s="228">
        <v>109139</v>
      </c>
      <c r="Q6" s="231">
        <v>106764</v>
      </c>
    </row>
    <row r="7" spans="1:17" ht="33.75" customHeight="1">
      <c r="B7" s="160" t="s">
        <v>173</v>
      </c>
      <c r="C7" s="161"/>
      <c r="D7" s="430">
        <f>_EPRCS_VU_32a29872_53e6_40cd_9efa_524d32f896f4</f>
        <v>29608</v>
      </c>
      <c r="E7" s="490">
        <f>IF(B2="Q1","",_EPRCS_VU_757f7d7f_9eca_4fd8_b006_ade1f4eff5d5)</f>
        <v>30808</v>
      </c>
      <c r="F7" s="465">
        <f>IF(B2="Q1","",IF(B2="Q2","",_EPRCS_VU_6c545a59_8514_4914_be4b_fd46af068c97))</f>
        <v>32418</v>
      </c>
      <c r="G7" s="380" t="str">
        <f>IF(B2="Q1","",IF(B2="Q2","",IF(B2="Q3","",_EPRCS_VU_ae2fb867_a9fd_4217_a522_d1176399b17b)))</f>
        <v/>
      </c>
      <c r="H7" s="417">
        <f>_EPRCS_VU_3c352f42_ab52_44de_a54c_60c91b829ef0</f>
        <v>92835</v>
      </c>
      <c r="I7" s="443">
        <v>30415</v>
      </c>
      <c r="J7" s="228">
        <v>27989</v>
      </c>
      <c r="K7" s="477">
        <v>30849</v>
      </c>
      <c r="L7" s="228">
        <v>32133</v>
      </c>
      <c r="M7" s="229">
        <v>121387</v>
      </c>
      <c r="N7" s="230">
        <v>113545</v>
      </c>
      <c r="O7" s="228">
        <v>108292</v>
      </c>
      <c r="P7" s="228">
        <v>105551</v>
      </c>
      <c r="Q7" s="231">
        <v>101758</v>
      </c>
    </row>
    <row r="8" spans="1:17" ht="33.75" customHeight="1">
      <c r="B8" s="158" t="s">
        <v>174</v>
      </c>
      <c r="C8" s="159"/>
      <c r="D8" s="430">
        <f>_EPRCS_VU_3731a22b_d139_4e84_aea0_6b0764739cef</f>
        <v>8480</v>
      </c>
      <c r="E8" s="490">
        <f>IF(B2="Q1","",_EPRCS_VU_cc4693c1_45c1_4787_a094_69c97e600a45)</f>
        <v>9276</v>
      </c>
      <c r="F8" s="465">
        <f>IF(B2="Q1","",IF(B2="Q2","",_EPRCS_VU_4fbc078c_135f_40a7_9056_502f26244d79))</f>
        <v>8054</v>
      </c>
      <c r="G8" s="380" t="str">
        <f>IF(B2="Q1","",IF(B2="Q2","",IF(B2="Q3","",_EPRCS_VU_091e7154_6e18_4849_ae30_7b06df973b69)))</f>
        <v/>
      </c>
      <c r="H8" s="417">
        <f>_EPRCS_VU_62434371_aa14_4de7_ab77_54ff528cd6c6</f>
        <v>25811</v>
      </c>
      <c r="I8" s="443">
        <v>8220</v>
      </c>
      <c r="J8" s="228">
        <v>8270</v>
      </c>
      <c r="K8" s="477">
        <v>8543</v>
      </c>
      <c r="L8" s="228">
        <v>9520</v>
      </c>
      <c r="M8" s="229">
        <v>34555</v>
      </c>
      <c r="N8" s="230">
        <v>33725</v>
      </c>
      <c r="O8" s="228">
        <v>33895</v>
      </c>
      <c r="P8" s="228">
        <v>32337</v>
      </c>
      <c r="Q8" s="231">
        <v>30854</v>
      </c>
    </row>
    <row r="9" spans="1:17" ht="33.75" customHeight="1">
      <c r="B9" s="160" t="s">
        <v>41</v>
      </c>
      <c r="C9" s="161"/>
      <c r="D9" s="431">
        <f>_EPRCS_VU_56c748b5_a54c_4233_8c95_d32791138813</f>
        <v>21128</v>
      </c>
      <c r="E9" s="491">
        <f>IF(B2="Q1","",_EPRCS_VU_d0caf8e1_6ae4_4d1c_9770_14a41dd2c235)</f>
        <v>21531</v>
      </c>
      <c r="F9" s="466">
        <f>IF(B2="Q1","",IF(B2="Q2","",_EPRCS_VU_537ddc2c_08b3_4b7b_a101_8cde014f8238))</f>
        <v>24364</v>
      </c>
      <c r="G9" s="381" t="str">
        <f>IF(B2="Q1","",IF(B2="Q2","",IF(B2="Q3","",_EPRCS_VU_7ab7f997_d05b_4b1d_a371_3fb8a492c167)))</f>
        <v/>
      </c>
      <c r="H9" s="460">
        <f>_EPRCS_VU_1fa45dd0_5a25_498b_a552_a7a49255556a</f>
        <v>67023</v>
      </c>
      <c r="I9" s="444">
        <v>22194</v>
      </c>
      <c r="J9" s="232">
        <v>19718</v>
      </c>
      <c r="K9" s="478">
        <v>22306</v>
      </c>
      <c r="L9" s="232">
        <v>22612</v>
      </c>
      <c r="M9" s="233">
        <v>86832</v>
      </c>
      <c r="N9" s="230">
        <v>79820</v>
      </c>
      <c r="O9" s="228">
        <v>74396</v>
      </c>
      <c r="P9" s="228">
        <v>73213</v>
      </c>
      <c r="Q9" s="231">
        <v>70904</v>
      </c>
    </row>
    <row r="10" spans="1:17" s="41" customFormat="1" ht="25.5" customHeight="1">
      <c r="A10" s="40"/>
      <c r="B10" s="162"/>
      <c r="C10" s="163" t="s">
        <v>175</v>
      </c>
      <c r="D10" s="432" t="str">
        <f>_EPRCS_VU_df1a6006_33f6_4bf9_a6ad_b4d5a628ca19</f>
        <v>31.9%</v>
      </c>
      <c r="E10" s="492" t="str">
        <f>IF(B2="Q1","",_EPRCS_VU_cf133536_f668_433b_8364_188d99c8cea6)</f>
        <v>31.5%</v>
      </c>
      <c r="F10" s="467" t="str">
        <f>IF(B2="Q1","",IF(B2="Q2","",_EPRCS_VU_70ebee1a_9e68_462b_a429_49a2bed6fbd6))</f>
        <v>33.8%</v>
      </c>
      <c r="G10" s="382" t="str">
        <f>IF(B2="Q1","",IF(B2="Q2","",IF(B2="Q3","",_EPRCS_VU_1317eee6_7fb2_4099_89ab_18fc3a1d06a1)))</f>
        <v/>
      </c>
      <c r="H10" s="418" t="str">
        <f>_EPRCS_VU_c4006423_1b02_4c5a_bde5_4b18c2cd0f77</f>
        <v>32.4%</v>
      </c>
      <c r="I10" s="445" t="s">
        <v>176</v>
      </c>
      <c r="J10" s="234" t="s">
        <v>177</v>
      </c>
      <c r="K10" s="479" t="s">
        <v>178</v>
      </c>
      <c r="L10" s="234" t="s">
        <v>179</v>
      </c>
      <c r="M10" s="235" t="s">
        <v>178</v>
      </c>
      <c r="N10" s="236" t="s">
        <v>180</v>
      </c>
      <c r="O10" s="237" t="s">
        <v>181</v>
      </c>
      <c r="P10" s="237" t="s">
        <v>182</v>
      </c>
      <c r="Q10" s="238" t="s">
        <v>183</v>
      </c>
    </row>
    <row r="11" spans="1:17" ht="33.75" customHeight="1">
      <c r="B11" s="158" t="s">
        <v>184</v>
      </c>
      <c r="C11" s="159"/>
      <c r="D11" s="430">
        <f>_EPRCS_VU_025c3db3_e3e6_43f4_8d53_992402de3387</f>
        <v>21369</v>
      </c>
      <c r="E11" s="490">
        <f>IF(B2="Q1","",_EPRCS_VU_826709fe_9491_4307_be5f_03d41eb8193a)</f>
        <v>21809</v>
      </c>
      <c r="F11" s="465">
        <f>IF(B2="Q1","",IF(B2="Q2","",_EPRCS_VU_12b0bbcb_587b_4c55_988f_b6b6139e3428))</f>
        <v>24563</v>
      </c>
      <c r="G11" s="380" t="str">
        <f>IF(B2="Q1","",IF(B2="Q2","",IF(B2="Q3","",_EPRCS_VU_01e02dd8_4a66_4847_b072_27cb87e4c75a)))</f>
        <v/>
      </c>
      <c r="H11" s="417">
        <f>_EPRCS_VU_e62b54d3_0a15_4007_8baf_12f688a0d25a</f>
        <v>67742</v>
      </c>
      <c r="I11" s="443">
        <v>22193</v>
      </c>
      <c r="J11" s="228">
        <v>20163</v>
      </c>
      <c r="K11" s="477">
        <v>22396</v>
      </c>
      <c r="L11" s="228">
        <v>22701</v>
      </c>
      <c r="M11" s="229">
        <v>87454</v>
      </c>
      <c r="N11" s="230">
        <v>80277</v>
      </c>
      <c r="O11" s="228">
        <v>74681</v>
      </c>
      <c r="P11" s="228">
        <v>73543</v>
      </c>
      <c r="Q11" s="231">
        <v>70904</v>
      </c>
    </row>
    <row r="12" spans="1:17" ht="33.75" customHeight="1" thickBot="1">
      <c r="B12" s="164" t="s">
        <v>185</v>
      </c>
      <c r="C12" s="165"/>
      <c r="D12" s="433">
        <f>_EPRCS_VU_e6428862_b063_42df_9567_51b7d7dea91f</f>
        <v>14805</v>
      </c>
      <c r="E12" s="493">
        <f>IF(B2="Q1","",_EPRCS_VU_50b7a2d1_ec21_4945_8be3_ba8c79772e2e)</f>
        <v>15107</v>
      </c>
      <c r="F12" s="468">
        <f>IF(B2="Q1","",IF(B2="Q2","",_EPRCS_VU_2e2cd088_3ece_4ede_a378_b0921ec19a65))</f>
        <v>17016</v>
      </c>
      <c r="G12" s="383" t="str">
        <f>IF(B2="Q1","",IF(B2="Q2","",IF(B2="Q3","",_EPRCS_VU_a0bc93b3_be1d_404e_9da8_f560b224b5ba)))</f>
        <v/>
      </c>
      <c r="H12" s="461">
        <f>_EPRCS_VU_71282b18_d4aa_400a_97b4_aa0a18e3c865</f>
        <v>46929</v>
      </c>
      <c r="I12" s="446">
        <v>15374</v>
      </c>
      <c r="J12" s="239">
        <v>13968</v>
      </c>
      <c r="K12" s="480">
        <v>15514</v>
      </c>
      <c r="L12" s="239">
        <v>15868</v>
      </c>
      <c r="M12" s="240">
        <v>60725</v>
      </c>
      <c r="N12" s="241">
        <v>55603</v>
      </c>
      <c r="O12" s="239">
        <v>52009</v>
      </c>
      <c r="P12" s="239">
        <v>51182</v>
      </c>
      <c r="Q12" s="242">
        <v>49175</v>
      </c>
    </row>
    <row r="13" spans="1:17" s="39" customFormat="1" ht="33.75" customHeight="1">
      <c r="A13" s="38"/>
      <c r="B13" s="166" t="s">
        <v>186</v>
      </c>
      <c r="C13" s="167"/>
      <c r="D13" s="434">
        <v>297616</v>
      </c>
      <c r="E13" s="494">
        <v>315596</v>
      </c>
      <c r="F13" s="469">
        <v>315493</v>
      </c>
      <c r="G13" s="384"/>
      <c r="H13" s="419" t="s">
        <v>79</v>
      </c>
      <c r="I13" s="447">
        <v>262135</v>
      </c>
      <c r="J13" s="243">
        <v>274125</v>
      </c>
      <c r="K13" s="481">
        <v>271815</v>
      </c>
      <c r="L13" s="243">
        <v>316403</v>
      </c>
      <c r="M13" s="244" t="s">
        <v>79</v>
      </c>
      <c r="N13" s="245">
        <v>340159</v>
      </c>
      <c r="O13" s="243">
        <v>281015</v>
      </c>
      <c r="P13" s="243">
        <v>236868</v>
      </c>
      <c r="Q13" s="246">
        <v>333999</v>
      </c>
    </row>
    <row r="14" spans="1:17" s="29" customFormat="1" ht="33.75" customHeight="1">
      <c r="B14" s="160"/>
      <c r="C14" s="161" t="s">
        <v>187</v>
      </c>
      <c r="D14" s="435">
        <v>184503</v>
      </c>
      <c r="E14" s="495">
        <v>201195</v>
      </c>
      <c r="F14" s="470">
        <v>274465</v>
      </c>
      <c r="G14" s="385"/>
      <c r="H14" s="462" t="s">
        <v>79</v>
      </c>
      <c r="I14" s="448">
        <v>39958</v>
      </c>
      <c r="J14" s="247">
        <v>51781</v>
      </c>
      <c r="K14" s="482">
        <v>159417</v>
      </c>
      <c r="L14" s="247">
        <v>203861</v>
      </c>
      <c r="M14" s="248" t="s">
        <v>79</v>
      </c>
      <c r="N14" s="249">
        <v>118829</v>
      </c>
      <c r="O14" s="247">
        <v>130831</v>
      </c>
      <c r="P14" s="247">
        <v>84800</v>
      </c>
      <c r="Q14" s="250">
        <v>81038</v>
      </c>
    </row>
    <row r="15" spans="1:17" s="29" customFormat="1" ht="33.75" customHeight="1">
      <c r="B15" s="158"/>
      <c r="C15" s="168" t="s">
        <v>188</v>
      </c>
      <c r="D15" s="436">
        <v>113112</v>
      </c>
      <c r="E15" s="496">
        <v>114400</v>
      </c>
      <c r="F15" s="471">
        <v>41028</v>
      </c>
      <c r="G15" s="386"/>
      <c r="H15" s="462" t="s">
        <v>79</v>
      </c>
      <c r="I15" s="449">
        <v>222177</v>
      </c>
      <c r="J15" s="251">
        <v>222344</v>
      </c>
      <c r="K15" s="483">
        <v>112398</v>
      </c>
      <c r="L15" s="251">
        <v>112542</v>
      </c>
      <c r="M15" s="248" t="s">
        <v>79</v>
      </c>
      <c r="N15" s="252">
        <v>221329</v>
      </c>
      <c r="O15" s="251">
        <v>150184</v>
      </c>
      <c r="P15" s="251">
        <v>152068</v>
      </c>
      <c r="Q15" s="253">
        <v>252960</v>
      </c>
    </row>
    <row r="16" spans="1:17" ht="33.75" customHeight="1">
      <c r="B16" s="160" t="s">
        <v>189</v>
      </c>
      <c r="C16" s="161"/>
      <c r="D16" s="437">
        <v>143468</v>
      </c>
      <c r="E16" s="497">
        <v>144530</v>
      </c>
      <c r="F16" s="472">
        <v>127412</v>
      </c>
      <c r="G16" s="387"/>
      <c r="H16" s="416" t="s">
        <v>79</v>
      </c>
      <c r="I16" s="450">
        <v>141423</v>
      </c>
      <c r="J16" s="254">
        <v>138320</v>
      </c>
      <c r="K16" s="484">
        <v>124046</v>
      </c>
      <c r="L16" s="254">
        <v>152722</v>
      </c>
      <c r="M16" s="255" t="s">
        <v>79</v>
      </c>
      <c r="N16" s="256">
        <v>148363</v>
      </c>
      <c r="O16" s="254">
        <v>125161</v>
      </c>
      <c r="P16" s="254">
        <v>111513</v>
      </c>
      <c r="Q16" s="257">
        <v>113999</v>
      </c>
    </row>
    <row r="17" spans="2:17" ht="33.75" customHeight="1" thickBot="1">
      <c r="B17" s="169" t="s">
        <v>190</v>
      </c>
      <c r="C17" s="170"/>
      <c r="D17" s="430">
        <v>154147</v>
      </c>
      <c r="E17" s="490">
        <v>171066</v>
      </c>
      <c r="F17" s="473">
        <v>188081</v>
      </c>
      <c r="G17" s="380"/>
      <c r="H17" s="417" t="s">
        <v>79</v>
      </c>
      <c r="I17" s="443">
        <v>120711</v>
      </c>
      <c r="J17" s="228">
        <v>135755</v>
      </c>
      <c r="K17" s="477">
        <v>147768</v>
      </c>
      <c r="L17" s="228">
        <v>163681</v>
      </c>
      <c r="M17" s="229" t="s">
        <v>79</v>
      </c>
      <c r="N17" s="230">
        <v>191795</v>
      </c>
      <c r="O17" s="228">
        <v>155854</v>
      </c>
      <c r="P17" s="228">
        <v>125355</v>
      </c>
      <c r="Q17" s="231">
        <v>219999</v>
      </c>
    </row>
    <row r="18" spans="2:17" ht="33.75" customHeight="1">
      <c r="B18" s="171" t="s">
        <v>191</v>
      </c>
      <c r="C18" s="171"/>
      <c r="D18" s="438" t="s">
        <v>79</v>
      </c>
      <c r="E18" s="489" t="s">
        <v>79</v>
      </c>
      <c r="F18" s="454" t="s">
        <v>79</v>
      </c>
      <c r="G18" s="388" t="s">
        <v>79</v>
      </c>
      <c r="H18" s="130" t="s">
        <v>79</v>
      </c>
      <c r="I18" s="451" t="s">
        <v>79</v>
      </c>
      <c r="J18" s="258" t="s">
        <v>79</v>
      </c>
      <c r="K18" s="485" t="s">
        <v>79</v>
      </c>
      <c r="L18" s="258" t="s">
        <v>79</v>
      </c>
      <c r="M18" s="259">
        <v>1847</v>
      </c>
      <c r="N18" s="260">
        <v>596</v>
      </c>
      <c r="O18" s="261">
        <v>540</v>
      </c>
      <c r="P18" s="261">
        <v>652</v>
      </c>
      <c r="Q18" s="262">
        <v>105</v>
      </c>
    </row>
    <row r="19" spans="2:17" ht="33.75" customHeight="1">
      <c r="B19" s="172" t="s">
        <v>192</v>
      </c>
      <c r="C19" s="172"/>
      <c r="D19" s="439" t="s">
        <v>79</v>
      </c>
      <c r="E19" s="498" t="s">
        <v>79</v>
      </c>
      <c r="F19" s="474" t="s">
        <v>79</v>
      </c>
      <c r="G19" s="389" t="s">
        <v>79</v>
      </c>
      <c r="H19" s="131" t="s">
        <v>79</v>
      </c>
      <c r="I19" s="452" t="s">
        <v>79</v>
      </c>
      <c r="J19" s="263" t="s">
        <v>79</v>
      </c>
      <c r="K19" s="486" t="s">
        <v>79</v>
      </c>
      <c r="L19" s="263" t="s">
        <v>79</v>
      </c>
      <c r="M19" s="264">
        <v>1259</v>
      </c>
      <c r="N19" s="265">
        <v>1311</v>
      </c>
      <c r="O19" s="266">
        <v>1333</v>
      </c>
      <c r="P19" s="266">
        <v>1653</v>
      </c>
      <c r="Q19" s="267">
        <v>2049</v>
      </c>
    </row>
    <row r="20" spans="2:17" ht="33.75" customHeight="1">
      <c r="B20" s="172" t="s">
        <v>193</v>
      </c>
      <c r="C20" s="172"/>
      <c r="D20" s="439" t="s">
        <v>79</v>
      </c>
      <c r="E20" s="498" t="s">
        <v>79</v>
      </c>
      <c r="F20" s="474" t="s">
        <v>79</v>
      </c>
      <c r="G20" s="389" t="s">
        <v>79</v>
      </c>
      <c r="H20" s="131" t="s">
        <v>79</v>
      </c>
      <c r="I20" s="452" t="s">
        <v>79</v>
      </c>
      <c r="J20" s="263" t="s">
        <v>79</v>
      </c>
      <c r="K20" s="486" t="s">
        <v>79</v>
      </c>
      <c r="L20" s="263" t="s">
        <v>79</v>
      </c>
      <c r="M20" s="264">
        <v>190</v>
      </c>
      <c r="N20" s="265">
        <v>674</v>
      </c>
      <c r="O20" s="266">
        <v>162</v>
      </c>
      <c r="P20" s="266">
        <v>160</v>
      </c>
      <c r="Q20" s="267">
        <v>1146</v>
      </c>
    </row>
    <row r="21" spans="2:17" ht="33.6" customHeight="1">
      <c r="B21" s="172" t="s">
        <v>194</v>
      </c>
      <c r="C21" s="172"/>
      <c r="D21" s="440" t="s">
        <v>79</v>
      </c>
      <c r="E21" s="499" t="s">
        <v>79</v>
      </c>
      <c r="F21" s="455" t="s">
        <v>79</v>
      </c>
      <c r="G21" s="390" t="s">
        <v>79</v>
      </c>
      <c r="H21" s="131" t="s">
        <v>79</v>
      </c>
      <c r="I21" s="453" t="s">
        <v>79</v>
      </c>
      <c r="J21" s="268" t="s">
        <v>79</v>
      </c>
      <c r="K21" s="487" t="s">
        <v>79</v>
      </c>
      <c r="L21" s="268" t="s">
        <v>79</v>
      </c>
      <c r="M21" s="269">
        <v>40.1</v>
      </c>
      <c r="N21" s="270">
        <v>155.19999999999999</v>
      </c>
      <c r="O21" s="271">
        <v>39.9</v>
      </c>
      <c r="P21" s="271">
        <v>40</v>
      </c>
      <c r="Q21" s="272">
        <v>298.5</v>
      </c>
    </row>
    <row r="22" spans="2:17" ht="33.6" hidden="1" customHeight="1" thickBot="1">
      <c r="B22" s="164" t="s">
        <v>195</v>
      </c>
      <c r="C22" s="165"/>
      <c r="D22" s="393">
        <v>2270</v>
      </c>
      <c r="E22" s="376"/>
      <c r="F22" s="391"/>
      <c r="G22" s="392"/>
      <c r="H22" s="132" t="s">
        <v>79</v>
      </c>
      <c r="I22" s="394">
        <v>2245</v>
      </c>
      <c r="J22" s="273">
        <v>2254</v>
      </c>
      <c r="K22" s="395">
        <v>2250</v>
      </c>
      <c r="L22" s="273">
        <v>2258</v>
      </c>
      <c r="M22" s="274" t="s">
        <v>79</v>
      </c>
      <c r="N22" s="275">
        <v>2257</v>
      </c>
      <c r="O22" s="273">
        <v>2398</v>
      </c>
      <c r="P22" s="276">
        <v>2430</v>
      </c>
      <c r="Q22" s="277">
        <v>2407</v>
      </c>
    </row>
    <row r="23" spans="2:17" ht="20.25" customHeight="1">
      <c r="B23" s="133" t="s">
        <v>196</v>
      </c>
      <c r="C23" s="134"/>
      <c r="D23" s="185"/>
      <c r="E23" s="185"/>
      <c r="F23" s="187"/>
      <c r="G23" s="137"/>
      <c r="H23" s="135"/>
      <c r="I23" s="185"/>
      <c r="J23" s="185"/>
      <c r="K23" s="396"/>
      <c r="L23" s="139"/>
      <c r="M23" s="139"/>
      <c r="N23" s="135"/>
      <c r="O23" s="135"/>
      <c r="P23" s="138"/>
      <c r="Q23" s="139"/>
    </row>
    <row r="24" spans="2:17" ht="20.25" customHeight="1">
      <c r="B24" s="140" t="s">
        <v>197</v>
      </c>
      <c r="C24" s="134"/>
      <c r="D24" s="135"/>
      <c r="E24" s="185"/>
      <c r="F24" s="187"/>
      <c r="G24" s="137"/>
      <c r="H24" s="135"/>
      <c r="I24" s="185"/>
      <c r="J24" s="185"/>
      <c r="K24" s="396"/>
      <c r="L24" s="139"/>
      <c r="M24" s="139"/>
      <c r="N24" s="135"/>
      <c r="O24" s="135"/>
      <c r="P24" s="138"/>
      <c r="Q24" s="139"/>
    </row>
    <row r="25" spans="2:17" ht="20.25" customHeight="1">
      <c r="B25" s="140" t="s">
        <v>198</v>
      </c>
      <c r="C25" s="134"/>
      <c r="D25" s="135"/>
      <c r="E25" s="185"/>
      <c r="F25" s="187"/>
      <c r="G25" s="137"/>
      <c r="H25" s="135"/>
      <c r="I25" s="185"/>
      <c r="J25" s="185"/>
      <c r="K25" s="181"/>
      <c r="L25" s="139"/>
      <c r="M25" s="139"/>
      <c r="N25" s="135"/>
      <c r="O25" s="135"/>
      <c r="P25" s="138"/>
      <c r="Q25" s="139"/>
    </row>
    <row r="26" spans="2:17" ht="14.1" customHeight="1">
      <c r="B26" s="140"/>
      <c r="C26" s="134"/>
      <c r="D26" s="135"/>
      <c r="E26" s="135"/>
      <c r="F26" s="136"/>
      <c r="G26" s="137"/>
      <c r="H26" s="135"/>
      <c r="I26" s="135"/>
      <c r="J26" s="135"/>
      <c r="K26" s="138"/>
      <c r="L26" s="139"/>
      <c r="M26" s="139"/>
      <c r="N26" s="135"/>
      <c r="O26" s="135"/>
      <c r="P26" s="138"/>
      <c r="Q26" s="139"/>
    </row>
    <row r="27" spans="2:17" ht="23.85" customHeight="1" thickBot="1">
      <c r="B27" s="141" t="s">
        <v>199</v>
      </c>
      <c r="C27" s="134"/>
      <c r="D27" s="142"/>
      <c r="E27" s="143" t="s">
        <v>200</v>
      </c>
      <c r="F27" s="136"/>
      <c r="G27" s="137"/>
      <c r="H27" s="135"/>
      <c r="I27" s="135"/>
      <c r="J27" s="135"/>
      <c r="K27" s="138"/>
      <c r="L27" s="139"/>
      <c r="M27" s="139"/>
      <c r="N27" s="135"/>
      <c r="O27" s="135"/>
      <c r="P27" s="138"/>
      <c r="Q27" s="139"/>
    </row>
    <row r="28" spans="2:17" ht="23.85" customHeight="1" thickBot="1">
      <c r="B28" s="134"/>
      <c r="C28" s="144"/>
      <c r="D28" s="145" t="s">
        <v>201</v>
      </c>
      <c r="E28" s="146" t="s">
        <v>202</v>
      </c>
      <c r="F28" s="136"/>
      <c r="G28" s="137"/>
      <c r="H28" s="135"/>
      <c r="I28" s="135"/>
      <c r="J28" s="135"/>
      <c r="K28" s="138"/>
      <c r="L28" s="139"/>
      <c r="M28" s="139"/>
      <c r="N28" s="135"/>
      <c r="O28" s="135"/>
      <c r="P28" s="138"/>
      <c r="Q28" s="139"/>
    </row>
    <row r="29" spans="2:17" ht="23.85" customHeight="1">
      <c r="B29" s="134"/>
      <c r="C29" s="147" t="s">
        <v>203</v>
      </c>
      <c r="D29" s="148">
        <v>6</v>
      </c>
      <c r="E29" s="149">
        <v>10</v>
      </c>
      <c r="F29" s="136"/>
      <c r="G29" s="137"/>
      <c r="H29" s="135"/>
      <c r="I29" s="135"/>
      <c r="J29" s="135"/>
      <c r="K29" s="138"/>
      <c r="L29" s="139"/>
      <c r="M29" s="139"/>
      <c r="N29" s="135"/>
      <c r="O29" s="135"/>
      <c r="P29" s="138"/>
      <c r="Q29" s="139"/>
    </row>
    <row r="30" spans="2:17" ht="23.85" customHeight="1">
      <c r="B30" s="134"/>
      <c r="C30" s="147" t="s">
        <v>204</v>
      </c>
      <c r="D30" s="150">
        <v>490</v>
      </c>
      <c r="E30" s="151">
        <v>505</v>
      </c>
      <c r="F30" s="136"/>
      <c r="G30" s="137"/>
      <c r="H30" s="135"/>
      <c r="I30" s="135"/>
      <c r="J30" s="135"/>
      <c r="K30" s="138"/>
      <c r="L30" s="139"/>
      <c r="M30" s="139"/>
      <c r="N30" s="135"/>
      <c r="O30" s="135"/>
      <c r="P30" s="138"/>
      <c r="Q30" s="139"/>
    </row>
    <row r="31" spans="2:17" ht="20.25" customHeight="1">
      <c r="B31" s="134"/>
      <c r="C31" s="152" t="s">
        <v>205</v>
      </c>
      <c r="D31" s="152"/>
      <c r="E31" s="152"/>
      <c r="F31" s="136"/>
      <c r="G31" s="137"/>
      <c r="H31" s="135"/>
      <c r="I31" s="135"/>
      <c r="J31" s="135"/>
      <c r="K31" s="138"/>
      <c r="L31" s="139"/>
      <c r="M31" s="139"/>
      <c r="N31" s="135"/>
      <c r="O31" s="135"/>
      <c r="P31" s="138"/>
      <c r="Q31" s="139"/>
    </row>
  </sheetData>
  <phoneticPr fontId="2"/>
  <printOptions horizontalCentered="1" verticalCentered="1"/>
  <pageMargins left="0.43307086614173201" right="0.196850393700787" top="0.27559055118110198" bottom="0.31496062992126" header="0.511811023622047" footer="0.15748031496063"/>
  <pageSetup paperSize="9" scale="58" orientation="landscape" r:id="rId1"/>
  <headerFooter alignWithMargins="0"/>
  <ignoredErrors>
    <ignoredError sqref="M26:Q28 M23:Q24 I10:Q10" numberStoredAsText="1"/>
    <ignoredError sqref="D7:H12 D5 F5:H5 D6 F6:H6 E5:E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9"/>
  <sheetViews>
    <sheetView showGridLines="0" view="pageBreakPreview" zoomScale="55" zoomScaleNormal="60" zoomScaleSheetLayoutView="55" zoomScalePageLayoutView="40" workbookViewId="0"/>
  </sheetViews>
  <sheetFormatPr defaultColWidth="9" defaultRowHeight="20.25" customHeight="1"/>
  <cols>
    <col min="1" max="1" width="2.3984375" style="4" customWidth="1"/>
    <col min="2" max="3" width="2.1328125" style="4" customWidth="1"/>
    <col min="4" max="4" width="42.3984375" style="4" customWidth="1"/>
    <col min="5" max="6" width="13.59765625" style="5" bestFit="1" customWidth="1"/>
    <col min="7" max="7" width="15.59765625" style="5" customWidth="1"/>
    <col min="8" max="9" width="15.59765625" style="4" customWidth="1"/>
    <col min="10" max="10" width="3.3984375" style="4" customWidth="1"/>
    <col min="11" max="11" width="2.86328125" style="4" customWidth="1"/>
    <col min="12" max="12" width="2.3984375" style="4" customWidth="1"/>
    <col min="13" max="13" width="42.3984375" style="4" customWidth="1"/>
    <col min="14" max="15" width="15.59765625" style="5" customWidth="1"/>
    <col min="16" max="18" width="15.59765625" style="4" customWidth="1"/>
    <col min="19" max="19" width="2.86328125" style="4" customWidth="1"/>
    <col min="20" max="16384" width="9" style="4"/>
  </cols>
  <sheetData>
    <row r="1" spans="2:19" s="5" customFormat="1" ht="21.75">
      <c r="B1" s="3" t="s">
        <v>206</v>
      </c>
      <c r="C1" s="127"/>
      <c r="D1" s="127"/>
      <c r="E1" s="128"/>
      <c r="F1" s="128"/>
      <c r="G1" s="128"/>
      <c r="H1" s="128"/>
      <c r="I1" s="128"/>
      <c r="J1" s="128"/>
      <c r="K1" s="128"/>
      <c r="L1" s="128"/>
      <c r="M1" s="128"/>
      <c r="N1" s="128"/>
      <c r="O1" s="128"/>
      <c r="P1" s="128"/>
      <c r="Q1" s="128"/>
      <c r="R1" s="128"/>
    </row>
    <row r="2" spans="2:19" ht="20.25" customHeight="1">
      <c r="B2" s="177"/>
      <c r="C2" s="177"/>
      <c r="D2" s="177"/>
      <c r="E2" s="177"/>
      <c r="F2" s="177"/>
      <c r="G2" s="177"/>
      <c r="H2" s="177"/>
      <c r="I2" s="177"/>
      <c r="J2" s="177"/>
      <c r="K2" s="177"/>
      <c r="L2" s="177"/>
      <c r="M2" s="177"/>
      <c r="N2" s="177"/>
      <c r="O2" s="177"/>
      <c r="P2" s="178"/>
      <c r="Q2" s="179"/>
      <c r="R2" s="180" t="s">
        <v>207</v>
      </c>
    </row>
    <row r="3" spans="2:19" ht="22.15" thickBot="1">
      <c r="B3" s="9" t="s">
        <v>208</v>
      </c>
      <c r="C3" s="109"/>
      <c r="D3" s="110"/>
      <c r="E3" s="111"/>
      <c r="F3" s="111"/>
      <c r="G3" s="111"/>
      <c r="H3" s="112"/>
      <c r="I3" s="112"/>
      <c r="J3" s="113"/>
      <c r="K3" s="9" t="s">
        <v>209</v>
      </c>
      <c r="N3" s="114"/>
      <c r="O3" s="114"/>
      <c r="S3" s="113"/>
    </row>
    <row r="4" spans="2:19" s="7" customFormat="1" ht="22.15" thickBot="1">
      <c r="B4" s="546" t="s">
        <v>210</v>
      </c>
      <c r="C4" s="546"/>
      <c r="D4" s="546"/>
      <c r="E4" s="6" t="s">
        <v>211</v>
      </c>
      <c r="F4" s="6" t="s">
        <v>212</v>
      </c>
      <c r="G4" s="182" t="s">
        <v>213</v>
      </c>
      <c r="H4" s="182" t="s">
        <v>214</v>
      </c>
      <c r="I4" s="182" t="s">
        <v>215</v>
      </c>
      <c r="J4" s="115"/>
      <c r="K4" s="546" t="s">
        <v>210</v>
      </c>
      <c r="L4" s="546"/>
      <c r="M4" s="546"/>
      <c r="N4" s="6" t="s">
        <v>211</v>
      </c>
      <c r="O4" s="6" t="s">
        <v>212</v>
      </c>
      <c r="P4" s="6" t="s">
        <v>213</v>
      </c>
      <c r="Q4" s="6" t="s">
        <v>214</v>
      </c>
      <c r="R4" s="182" t="s">
        <v>215</v>
      </c>
      <c r="S4" s="115"/>
    </row>
    <row r="5" spans="2:19" ht="21.75">
      <c r="B5" s="4" t="s">
        <v>216</v>
      </c>
      <c r="E5" s="191">
        <v>84800</v>
      </c>
      <c r="F5" s="191">
        <v>130831</v>
      </c>
      <c r="G5" s="191">
        <v>118829</v>
      </c>
      <c r="H5" s="191">
        <v>203861</v>
      </c>
      <c r="I5" s="200">
        <f>_EPRCS_VU_ae4d3989_2fbe_4c7a_96a1_f377cbc3f559</f>
        <v>274465</v>
      </c>
      <c r="J5" s="113"/>
      <c r="K5" s="4" t="s">
        <v>217</v>
      </c>
      <c r="N5" s="22">
        <v>111512</v>
      </c>
      <c r="O5" s="22">
        <v>125161</v>
      </c>
      <c r="P5" s="22">
        <v>148363</v>
      </c>
      <c r="Q5" s="22">
        <v>152722</v>
      </c>
      <c r="R5" s="202">
        <f>_EPRCS_VU_b32a637b_3fad_4d89_b1ee_aa8e33948b1c</f>
        <v>127412</v>
      </c>
      <c r="S5" s="113"/>
    </row>
    <row r="6" spans="2:19" ht="21.75">
      <c r="B6" s="4" t="s">
        <v>218</v>
      </c>
      <c r="E6" s="191"/>
      <c r="F6" s="191"/>
      <c r="G6" s="191"/>
      <c r="H6" s="191"/>
      <c r="I6" s="200"/>
      <c r="J6" s="113"/>
      <c r="K6" s="4" t="s">
        <v>219</v>
      </c>
      <c r="N6" s="22"/>
      <c r="O6" s="22"/>
      <c r="P6" s="22"/>
      <c r="Q6" s="22"/>
      <c r="R6" s="202"/>
      <c r="S6" s="113"/>
    </row>
    <row r="7" spans="2:19" ht="21.75">
      <c r="C7" s="4" t="s">
        <v>220</v>
      </c>
      <c r="E7" s="191">
        <v>60142</v>
      </c>
      <c r="F7" s="191">
        <v>104531</v>
      </c>
      <c r="G7" s="191">
        <v>91904</v>
      </c>
      <c r="H7" s="191">
        <v>66616</v>
      </c>
      <c r="I7" s="200">
        <f>_EPRCS_VU_66e61a31_0117_4ca5_ab28_a346ca7065df</f>
        <v>37339</v>
      </c>
      <c r="J7" s="113"/>
      <c r="L7" s="4" t="s">
        <v>221</v>
      </c>
      <c r="N7" s="22">
        <v>8918</v>
      </c>
      <c r="O7" s="22">
        <v>10193</v>
      </c>
      <c r="P7" s="22">
        <v>12618</v>
      </c>
      <c r="Q7" s="22">
        <v>13386</v>
      </c>
      <c r="R7" s="202">
        <f>_EPRCS_VU_81155f40_0045_4a79_836b_110f8a5312d8</f>
        <v>13869</v>
      </c>
      <c r="S7" s="113"/>
    </row>
    <row r="8" spans="2:19" ht="21.75">
      <c r="C8" s="4" t="s">
        <v>222</v>
      </c>
      <c r="E8" s="191"/>
      <c r="F8" s="191"/>
      <c r="G8" s="191"/>
      <c r="H8" s="191"/>
      <c r="I8" s="200"/>
      <c r="J8" s="113"/>
      <c r="L8" s="4" t="s">
        <v>223</v>
      </c>
      <c r="N8" s="22"/>
      <c r="O8" s="22"/>
      <c r="P8" s="22"/>
      <c r="Q8" s="22"/>
      <c r="R8" s="202"/>
      <c r="S8" s="113"/>
    </row>
    <row r="9" spans="2:19" ht="21.75">
      <c r="C9" s="4" t="s">
        <v>224</v>
      </c>
      <c r="E9" s="191">
        <v>20784</v>
      </c>
      <c r="F9" s="191">
        <v>21350</v>
      </c>
      <c r="G9" s="191">
        <v>21202</v>
      </c>
      <c r="H9" s="191">
        <v>22573</v>
      </c>
      <c r="I9" s="200">
        <f>_EPRCS_VU_afef4ff3_ac8f_481c_bc41_210d810d6f17</f>
        <v>19514</v>
      </c>
      <c r="J9" s="113"/>
      <c r="L9" s="4" t="s">
        <v>225</v>
      </c>
      <c r="N9" s="22">
        <v>4672</v>
      </c>
      <c r="O9" s="22">
        <v>4818</v>
      </c>
      <c r="P9" s="22">
        <v>5031</v>
      </c>
      <c r="Q9" s="22">
        <v>5753</v>
      </c>
      <c r="R9" s="202">
        <f>_EPRCS_VU_808adeee_f6e4_4f92_956d_407e6bc18cbd</f>
        <v>4355</v>
      </c>
      <c r="S9" s="113"/>
    </row>
    <row r="10" spans="2:19" ht="21.75">
      <c r="C10" s="4" t="s">
        <v>226</v>
      </c>
      <c r="E10" s="191"/>
      <c r="F10" s="191"/>
      <c r="G10" s="191"/>
      <c r="H10" s="191"/>
      <c r="I10" s="200"/>
      <c r="J10" s="113"/>
      <c r="L10" s="4" t="s">
        <v>227</v>
      </c>
      <c r="N10" s="22"/>
      <c r="O10" s="22"/>
      <c r="P10" s="22"/>
      <c r="Q10" s="22"/>
      <c r="R10" s="202"/>
      <c r="S10" s="113"/>
    </row>
    <row r="11" spans="2:19" ht="21.75">
      <c r="C11" s="4" t="s">
        <v>228</v>
      </c>
      <c r="E11" s="193">
        <v>62</v>
      </c>
      <c r="F11" s="192">
        <v>1534</v>
      </c>
      <c r="G11" s="192">
        <v>2910</v>
      </c>
      <c r="H11" s="192">
        <v>1482</v>
      </c>
      <c r="I11" s="201" t="s">
        <v>229</v>
      </c>
      <c r="J11" s="109"/>
      <c r="L11" s="4" t="s">
        <v>230</v>
      </c>
      <c r="N11" s="22">
        <v>12313</v>
      </c>
      <c r="O11" s="22">
        <v>10659</v>
      </c>
      <c r="P11" s="22">
        <v>14847</v>
      </c>
      <c r="Q11" s="22">
        <v>15305</v>
      </c>
      <c r="R11" s="202">
        <f>_EPRCS_VU_84a99371_f33e_4c6b_9f1e_0686dee3a03a</f>
        <v>7702</v>
      </c>
      <c r="S11" s="113"/>
    </row>
    <row r="12" spans="2:19" ht="21.75">
      <c r="C12" s="4" t="s">
        <v>231</v>
      </c>
      <c r="E12" s="191"/>
      <c r="F12" s="193"/>
      <c r="G12" s="191"/>
      <c r="H12" s="191"/>
      <c r="I12" s="200"/>
      <c r="J12" s="113"/>
      <c r="L12" s="4" t="s">
        <v>232</v>
      </c>
      <c r="N12" s="22"/>
      <c r="O12" s="22"/>
      <c r="P12" s="22"/>
      <c r="Q12" s="22"/>
      <c r="R12" s="202"/>
      <c r="S12" s="113"/>
    </row>
    <row r="13" spans="2:19" ht="22.5" customHeight="1">
      <c r="C13" s="4" t="s">
        <v>233</v>
      </c>
      <c r="E13" s="193">
        <v>108</v>
      </c>
      <c r="F13" s="192">
        <v>44</v>
      </c>
      <c r="G13" s="192">
        <v>49</v>
      </c>
      <c r="H13" s="192">
        <v>73</v>
      </c>
      <c r="I13" s="201" t="s">
        <v>229</v>
      </c>
      <c r="J13" s="109"/>
      <c r="L13" s="4" t="s">
        <v>234</v>
      </c>
      <c r="N13" s="183" t="s">
        <v>235</v>
      </c>
      <c r="O13" s="183" t="s">
        <v>235</v>
      </c>
      <c r="P13" s="183" t="s">
        <v>235</v>
      </c>
      <c r="Q13" s="183" t="s">
        <v>235</v>
      </c>
      <c r="R13" s="201" t="s">
        <v>229</v>
      </c>
      <c r="S13" s="113"/>
    </row>
    <row r="14" spans="2:19" ht="21.75">
      <c r="C14" s="4" t="s">
        <v>236</v>
      </c>
      <c r="E14" s="191"/>
      <c r="F14" s="191"/>
      <c r="G14" s="191"/>
      <c r="H14" s="191"/>
      <c r="I14" s="200"/>
      <c r="J14" s="113"/>
      <c r="L14" s="4" t="s">
        <v>237</v>
      </c>
      <c r="N14" s="22"/>
      <c r="O14" s="22"/>
      <c r="P14" s="22"/>
      <c r="Q14" s="22"/>
      <c r="R14" s="202"/>
      <c r="S14" s="113"/>
    </row>
    <row r="15" spans="2:19" ht="21.75">
      <c r="C15" s="4" t="s">
        <v>238</v>
      </c>
      <c r="E15" s="192" t="s">
        <v>235</v>
      </c>
      <c r="F15" s="192" t="s">
        <v>235</v>
      </c>
      <c r="G15" s="192" t="s">
        <v>235</v>
      </c>
      <c r="H15" s="192" t="s">
        <v>235</v>
      </c>
      <c r="I15" s="201" t="s">
        <v>229</v>
      </c>
      <c r="J15" s="113"/>
      <c r="L15" s="4" t="s">
        <v>239</v>
      </c>
      <c r="N15" s="22">
        <v>80047</v>
      </c>
      <c r="O15" s="22">
        <v>93088</v>
      </c>
      <c r="P15" s="22">
        <v>108589</v>
      </c>
      <c r="Q15" s="22">
        <v>109299</v>
      </c>
      <c r="R15" s="202">
        <f>_EPRCS_VU_9d6701d6_0f95_4ac2_bad0_19a667213d22</f>
        <v>92781</v>
      </c>
      <c r="S15" s="113"/>
    </row>
    <row r="16" spans="2:19" ht="21.75">
      <c r="C16" s="4" t="s">
        <v>240</v>
      </c>
      <c r="E16" s="191"/>
      <c r="F16" s="191"/>
      <c r="G16" s="191"/>
      <c r="H16" s="191"/>
      <c r="I16" s="200"/>
      <c r="J16" s="113"/>
      <c r="L16" s="4" t="s">
        <v>241</v>
      </c>
      <c r="N16" s="22"/>
      <c r="O16" s="22"/>
      <c r="P16" s="22"/>
      <c r="Q16" s="22"/>
      <c r="R16" s="202"/>
      <c r="S16" s="113"/>
    </row>
    <row r="17" spans="2:19" ht="21.75">
      <c r="C17" s="4" t="s">
        <v>242</v>
      </c>
      <c r="E17" s="192" t="s">
        <v>243</v>
      </c>
      <c r="F17" s="192" t="s">
        <v>243</v>
      </c>
      <c r="G17" s="192" t="s">
        <v>243</v>
      </c>
      <c r="H17" s="192">
        <v>110000</v>
      </c>
      <c r="I17" s="201">
        <v>212000</v>
      </c>
      <c r="J17" s="113"/>
      <c r="L17" s="4" t="s">
        <v>244</v>
      </c>
      <c r="N17" s="24">
        <v>5560</v>
      </c>
      <c r="O17" s="24">
        <v>6400</v>
      </c>
      <c r="P17" s="24">
        <v>7276</v>
      </c>
      <c r="Q17" s="24">
        <v>8977</v>
      </c>
      <c r="R17" s="206">
        <f>_EPRCS_VU_33425136_0e45_441a_bfbd_db37b4f92f06</f>
        <v>8703</v>
      </c>
      <c r="S17" s="113"/>
    </row>
    <row r="18" spans="2:19" ht="35.1" customHeight="1">
      <c r="C18" s="523" t="s">
        <v>245</v>
      </c>
      <c r="D18" s="523"/>
      <c r="E18" s="191"/>
      <c r="F18" s="191"/>
      <c r="G18" s="191"/>
      <c r="H18" s="191"/>
      <c r="I18" s="200"/>
      <c r="J18" s="113"/>
      <c r="L18" s="4" t="s">
        <v>246</v>
      </c>
      <c r="R18" s="208"/>
      <c r="S18" s="113"/>
    </row>
    <row r="19" spans="2:19" ht="21.75">
      <c r="C19" s="4" t="s">
        <v>247</v>
      </c>
      <c r="E19" s="191">
        <v>3721</v>
      </c>
      <c r="F19" s="191">
        <v>3389</v>
      </c>
      <c r="G19" s="191">
        <v>2781</v>
      </c>
      <c r="H19" s="191">
        <v>3134</v>
      </c>
      <c r="I19" s="200">
        <f>_EPRCS_VU_2eeb9486_e60b_4829_acd5_0c67d2ea0dba</f>
        <v>5632</v>
      </c>
      <c r="J19" s="113"/>
      <c r="K19" s="116" t="s">
        <v>248</v>
      </c>
      <c r="L19" s="116"/>
      <c r="M19" s="116"/>
      <c r="N19" s="117">
        <v>0</v>
      </c>
      <c r="O19" s="117">
        <v>0</v>
      </c>
      <c r="P19" s="117" t="s">
        <v>79</v>
      </c>
      <c r="Q19" s="117" t="s">
        <v>79</v>
      </c>
      <c r="R19" s="209" t="s">
        <v>79</v>
      </c>
      <c r="S19" s="113"/>
    </row>
    <row r="20" spans="2:19" ht="23.1" customHeight="1">
      <c r="C20" s="4" t="s">
        <v>246</v>
      </c>
      <c r="E20" s="191"/>
      <c r="F20" s="191"/>
      <c r="G20" s="191"/>
      <c r="H20" s="191"/>
      <c r="I20" s="200"/>
      <c r="J20" s="113"/>
      <c r="K20" s="4" t="s">
        <v>249</v>
      </c>
      <c r="N20" s="24"/>
      <c r="O20" s="24"/>
      <c r="P20" s="24"/>
      <c r="Q20" s="24"/>
      <c r="R20" s="206"/>
      <c r="S20" s="113"/>
    </row>
    <row r="21" spans="2:19" ht="21.75">
      <c r="C21" s="4" t="s">
        <v>250</v>
      </c>
      <c r="E21" s="191">
        <v>-20</v>
      </c>
      <c r="F21" s="191">
        <v>-20</v>
      </c>
      <c r="G21" s="191">
        <v>-20</v>
      </c>
      <c r="H21" s="191">
        <v>-20</v>
      </c>
      <c r="I21" s="200">
        <f>_EPRCS_VU_ea2dcb37_73ca_42b1_9a54_24c3023d50d1</f>
        <v>-20</v>
      </c>
      <c r="J21" s="113"/>
      <c r="L21" s="4" t="s">
        <v>244</v>
      </c>
      <c r="N21" s="24">
        <v>0</v>
      </c>
      <c r="O21" s="24">
        <v>0</v>
      </c>
      <c r="P21" s="24" t="s">
        <v>79</v>
      </c>
      <c r="Q21" s="24" t="s">
        <v>79</v>
      </c>
      <c r="R21" s="206" t="s">
        <v>79</v>
      </c>
      <c r="S21" s="113"/>
    </row>
    <row r="22" spans="2:19" ht="21.75">
      <c r="C22" s="4" t="s">
        <v>251</v>
      </c>
      <c r="E22" s="191"/>
      <c r="F22" s="191"/>
      <c r="G22" s="191"/>
      <c r="H22" s="193"/>
      <c r="I22" s="202"/>
      <c r="J22" s="113"/>
      <c r="L22" s="4" t="s">
        <v>246</v>
      </c>
      <c r="N22" s="25"/>
      <c r="O22" s="25"/>
      <c r="P22" s="25"/>
      <c r="Q22" s="25"/>
      <c r="R22" s="210"/>
      <c r="S22" s="113"/>
    </row>
    <row r="23" spans="2:19" ht="23.65" customHeight="1" thickBot="1">
      <c r="E23" s="191"/>
      <c r="F23" s="191"/>
      <c r="G23" s="191"/>
      <c r="H23" s="194"/>
      <c r="I23" s="203"/>
      <c r="J23" s="113"/>
      <c r="K23" s="116" t="s">
        <v>252</v>
      </c>
      <c r="L23" s="116"/>
      <c r="M23" s="116"/>
      <c r="N23" s="22">
        <v>111513</v>
      </c>
      <c r="O23" s="22">
        <v>125161</v>
      </c>
      <c r="P23" s="22">
        <v>148363</v>
      </c>
      <c r="Q23" s="22">
        <v>152722</v>
      </c>
      <c r="R23" s="202">
        <f>_EPRCS_VU_1a6584d8_b5d0_48d4_addc_f41835cd0677</f>
        <v>127412</v>
      </c>
      <c r="S23" s="113"/>
    </row>
    <row r="24" spans="2:19" ht="22.15" thickBot="1">
      <c r="B24" s="118" t="s">
        <v>253</v>
      </c>
      <c r="C24" s="118"/>
      <c r="D24" s="118"/>
      <c r="E24" s="195">
        <v>152068</v>
      </c>
      <c r="F24" s="195">
        <v>150184</v>
      </c>
      <c r="G24" s="195">
        <v>221329</v>
      </c>
      <c r="H24" s="195">
        <v>112542</v>
      </c>
      <c r="I24" s="204">
        <f>_EPRCS_VU_2f1d530c_f738_40d3_ac86_5184215d6f82</f>
        <v>41028</v>
      </c>
      <c r="J24" s="113"/>
      <c r="K24" s="112" t="s">
        <v>254</v>
      </c>
      <c r="L24" s="112"/>
      <c r="M24" s="112"/>
      <c r="N24" s="23"/>
      <c r="O24" s="23"/>
      <c r="P24" s="23"/>
      <c r="Q24" s="23"/>
      <c r="R24" s="211"/>
      <c r="S24" s="113"/>
    </row>
    <row r="25" spans="2:19" ht="21.75">
      <c r="C25" s="4" t="s">
        <v>255</v>
      </c>
      <c r="E25" s="191">
        <v>35796</v>
      </c>
      <c r="F25" s="191">
        <v>34973</v>
      </c>
      <c r="G25" s="191">
        <v>34236</v>
      </c>
      <c r="H25" s="191">
        <v>34820</v>
      </c>
      <c r="I25" s="200">
        <f>_EPRCS_VU_950b5e25_8591_4b28_b3fe_43c682b4e03b</f>
        <v>35913</v>
      </c>
      <c r="J25" s="113"/>
      <c r="R25" s="208"/>
      <c r="S25" s="113"/>
    </row>
    <row r="26" spans="2:19" ht="21.75">
      <c r="D26" s="4" t="s">
        <v>256</v>
      </c>
      <c r="E26" s="191">
        <v>26057</v>
      </c>
      <c r="F26" s="191">
        <v>26057</v>
      </c>
      <c r="G26" s="191">
        <v>26057</v>
      </c>
      <c r="H26" s="191">
        <v>26057</v>
      </c>
      <c r="I26" s="200">
        <f>_EPRCS_VU_e9d3f158_c0f5_44dd_a3d1_431295f72800</f>
        <v>26057</v>
      </c>
      <c r="J26" s="113"/>
      <c r="K26" s="4" t="s">
        <v>93</v>
      </c>
      <c r="N26" s="22">
        <v>25067</v>
      </c>
      <c r="O26" s="22">
        <v>25111</v>
      </c>
      <c r="P26" s="22">
        <v>25175</v>
      </c>
      <c r="Q26" s="22">
        <v>25225</v>
      </c>
      <c r="R26" s="202">
        <f>_EPRCS_VU_cfea4134_c0da_4255_8073_7e6494aac815</f>
        <v>25248</v>
      </c>
      <c r="S26" s="119"/>
    </row>
    <row r="27" spans="2:19" ht="21.75">
      <c r="D27" s="4" t="s">
        <v>257</v>
      </c>
      <c r="E27" s="191"/>
      <c r="F27" s="191"/>
      <c r="G27" s="191"/>
      <c r="H27" s="191"/>
      <c r="I27" s="200"/>
      <c r="J27" s="119"/>
      <c r="K27" s="4" t="s">
        <v>258</v>
      </c>
      <c r="N27" s="22"/>
      <c r="O27" s="22"/>
      <c r="P27" s="22"/>
      <c r="Q27" s="22"/>
      <c r="R27" s="202"/>
      <c r="S27" s="119"/>
    </row>
    <row r="28" spans="2:19" ht="21.75">
      <c r="D28" s="4" t="s">
        <v>259</v>
      </c>
      <c r="E28" s="193">
        <v>8628</v>
      </c>
      <c r="F28" s="193">
        <v>7824</v>
      </c>
      <c r="G28" s="193">
        <v>6995</v>
      </c>
      <c r="H28" s="193">
        <v>6257</v>
      </c>
      <c r="I28" s="202">
        <f>_EPRCS_VU_54e285be_2697_4864_baf7_dcd0cf8600ee</f>
        <v>5964</v>
      </c>
      <c r="J28" s="119"/>
      <c r="K28" s="4" t="s">
        <v>260</v>
      </c>
      <c r="N28" s="22">
        <v>8418</v>
      </c>
      <c r="O28" s="22">
        <v>8462</v>
      </c>
      <c r="P28" s="22">
        <v>8526</v>
      </c>
      <c r="Q28" s="22">
        <v>8576</v>
      </c>
      <c r="R28" s="202">
        <f>_EPRCS_VU_49376c57_703b_4242_b328_ab30bfa8bc5a</f>
        <v>8599</v>
      </c>
      <c r="S28" s="119"/>
    </row>
    <row r="29" spans="2:19" ht="21.75">
      <c r="D29" s="120" t="s">
        <v>261</v>
      </c>
      <c r="E29" s="191"/>
      <c r="F29" s="191"/>
      <c r="G29" s="191"/>
      <c r="H29" s="191"/>
      <c r="I29" s="200"/>
      <c r="J29" s="119"/>
      <c r="K29" s="4" t="s">
        <v>262</v>
      </c>
      <c r="N29" s="22"/>
      <c r="O29" s="22"/>
      <c r="P29" s="22"/>
      <c r="Q29" s="22"/>
      <c r="R29" s="202"/>
      <c r="S29" s="119"/>
    </row>
    <row r="30" spans="2:19" ht="21.75">
      <c r="D30" s="4" t="s">
        <v>263</v>
      </c>
      <c r="E30" s="191">
        <v>1111</v>
      </c>
      <c r="F30" s="191">
        <v>1092</v>
      </c>
      <c r="G30" s="191">
        <v>1184</v>
      </c>
      <c r="H30" s="191">
        <v>2505</v>
      </c>
      <c r="I30" s="200">
        <v>3891</v>
      </c>
      <c r="J30" s="119"/>
      <c r="K30" s="4" t="s">
        <v>264</v>
      </c>
      <c r="N30" s="22">
        <v>93156</v>
      </c>
      <c r="O30" s="22">
        <v>124646</v>
      </c>
      <c r="P30" s="22">
        <v>159472</v>
      </c>
      <c r="Q30" s="22">
        <v>133737</v>
      </c>
      <c r="R30" s="202">
        <f>_EPRCS_VU_de0173a1_14bf_46e5_819c_2d75dec52b5b</f>
        <v>156291</v>
      </c>
      <c r="S30" s="119"/>
    </row>
    <row r="31" spans="2:19" ht="21.75">
      <c r="D31" s="4" t="s">
        <v>265</v>
      </c>
      <c r="E31" s="191"/>
      <c r="F31" s="191"/>
      <c r="G31" s="191"/>
      <c r="H31" s="191"/>
      <c r="I31" s="200"/>
      <c r="J31" s="119"/>
      <c r="K31" s="4" t="s">
        <v>266</v>
      </c>
      <c r="N31" s="22"/>
      <c r="O31" s="22"/>
      <c r="P31" s="22"/>
      <c r="Q31" s="22"/>
      <c r="R31" s="202"/>
      <c r="S31" s="119"/>
    </row>
    <row r="32" spans="2:19" ht="21.75">
      <c r="C32" s="4" t="s">
        <v>267</v>
      </c>
      <c r="E32" s="191">
        <v>1</v>
      </c>
      <c r="F32" s="191">
        <v>1</v>
      </c>
      <c r="G32" s="191">
        <v>0</v>
      </c>
      <c r="H32" s="191">
        <v>0</v>
      </c>
      <c r="I32" s="200">
        <f>_EPRCS_VU_a3473e99_25ab_44d6_8da5_ebee390de09f</f>
        <v>0</v>
      </c>
      <c r="J32" s="119"/>
      <c r="K32" s="4" t="s">
        <v>268</v>
      </c>
      <c r="N32" s="24">
        <v>-1399</v>
      </c>
      <c r="O32" s="24">
        <v>-2452</v>
      </c>
      <c r="P32" s="24">
        <v>-1438</v>
      </c>
      <c r="Q32" s="24">
        <v>-3900</v>
      </c>
      <c r="R32" s="206">
        <f>_EPRCS_VU_794a5434_a239_4a7a_8c3d_ba918d4d6621</f>
        <v>-2091</v>
      </c>
      <c r="S32" s="119"/>
    </row>
    <row r="33" spans="1:19" ht="22.15" thickBot="1">
      <c r="C33" s="4" t="s">
        <v>269</v>
      </c>
      <c r="E33" s="191">
        <v>116270</v>
      </c>
      <c r="F33" s="191">
        <v>115209</v>
      </c>
      <c r="G33" s="191">
        <v>187092</v>
      </c>
      <c r="H33" s="191">
        <v>77721</v>
      </c>
      <c r="I33" s="200">
        <f>_EPRCS_VU_75c8d60d_37f7_46b6_b2d6_8963dfd9fcd8</f>
        <v>5114</v>
      </c>
      <c r="J33" s="119"/>
      <c r="K33" s="112" t="s">
        <v>270</v>
      </c>
      <c r="L33" s="112"/>
      <c r="M33" s="112"/>
      <c r="N33" s="23"/>
      <c r="O33" s="23"/>
      <c r="P33" s="23"/>
      <c r="Q33" s="23"/>
      <c r="R33" s="211"/>
      <c r="S33" s="119"/>
    </row>
    <row r="34" spans="1:19" ht="21.75">
      <c r="C34" s="4" t="s">
        <v>271</v>
      </c>
      <c r="E34" s="196"/>
      <c r="F34" s="196"/>
      <c r="G34" s="196"/>
      <c r="H34" s="196"/>
      <c r="I34" s="205"/>
      <c r="J34" s="119"/>
      <c r="K34" s="4" t="s">
        <v>272</v>
      </c>
      <c r="N34" s="22">
        <v>125243</v>
      </c>
      <c r="O34" s="22">
        <v>155768</v>
      </c>
      <c r="P34" s="22">
        <v>191735</v>
      </c>
      <c r="Q34" s="22">
        <v>163639</v>
      </c>
      <c r="R34" s="202">
        <f>_EPRCS_VU_f42d0bad_9e8c_4cf0_8a74_dfdbb0db30aa</f>
        <v>188048</v>
      </c>
      <c r="S34" s="119"/>
    </row>
    <row r="35" spans="1:19" ht="21.75">
      <c r="D35" s="4" t="s">
        <v>273</v>
      </c>
      <c r="E35" s="197">
        <v>110000</v>
      </c>
      <c r="F35" s="197">
        <v>110000</v>
      </c>
      <c r="G35" s="197">
        <v>182000</v>
      </c>
      <c r="H35" s="197">
        <v>72000</v>
      </c>
      <c r="I35" s="206" t="str">
        <f>_EPRCS_VU_735291ef_295d_4fad_97ba_b24a4adff62c</f>
        <v>-</v>
      </c>
      <c r="J35" s="119"/>
      <c r="K35" s="4" t="s">
        <v>274</v>
      </c>
      <c r="N35" s="22"/>
      <c r="O35" s="22"/>
      <c r="P35" s="22"/>
      <c r="Q35" s="22"/>
      <c r="R35" s="202"/>
      <c r="S35" s="119"/>
    </row>
    <row r="36" spans="1:19" ht="36" customHeight="1">
      <c r="D36" s="121" t="s">
        <v>275</v>
      </c>
      <c r="E36" s="196"/>
      <c r="F36" s="196"/>
      <c r="G36" s="196"/>
      <c r="H36" s="196"/>
      <c r="I36" s="205"/>
      <c r="J36" s="119"/>
      <c r="K36" s="4" t="s">
        <v>276</v>
      </c>
      <c r="N36" s="22">
        <v>111</v>
      </c>
      <c r="O36" s="22">
        <v>85</v>
      </c>
      <c r="P36" s="22">
        <v>59</v>
      </c>
      <c r="Q36" s="22">
        <v>42</v>
      </c>
      <c r="R36" s="202">
        <f>_EPRCS_VU_c9927729_38b5_4bc7_b65c_9b61cb6080ad</f>
        <v>33</v>
      </c>
      <c r="S36" s="119"/>
    </row>
    <row r="37" spans="1:19" ht="22.15" thickBot="1">
      <c r="D37" s="4" t="s">
        <v>277</v>
      </c>
      <c r="E37" s="196">
        <v>6270</v>
      </c>
      <c r="F37" s="196">
        <v>5209</v>
      </c>
      <c r="G37" s="196">
        <v>5092</v>
      </c>
      <c r="H37" s="196">
        <v>5721</v>
      </c>
      <c r="I37" s="205">
        <f>_EPRCS_VU_ba39d34e_86c5_4709_b2c2_b03aa3aabb4a</f>
        <v>5114</v>
      </c>
      <c r="J37" s="119"/>
      <c r="K37" s="112" t="s">
        <v>278</v>
      </c>
      <c r="L37" s="112"/>
      <c r="M37" s="112"/>
      <c r="N37" s="23"/>
      <c r="O37" s="23"/>
      <c r="P37" s="23"/>
      <c r="Q37" s="23"/>
      <c r="R37" s="211"/>
      <c r="S37" s="119"/>
    </row>
    <row r="38" spans="1:19" ht="21.75">
      <c r="D38" s="4" t="s">
        <v>246</v>
      </c>
      <c r="E38" s="196"/>
      <c r="F38" s="196"/>
      <c r="G38" s="196"/>
      <c r="H38" s="196"/>
      <c r="I38" s="205"/>
      <c r="J38" s="119"/>
      <c r="K38" s="4" t="s">
        <v>279</v>
      </c>
      <c r="N38" s="22">
        <v>125355</v>
      </c>
      <c r="O38" s="22">
        <v>155854</v>
      </c>
      <c r="P38" s="22">
        <v>191795</v>
      </c>
      <c r="Q38" s="22">
        <v>163681</v>
      </c>
      <c r="R38" s="202">
        <f>_EPRCS_VU_98a9330a_23e8_402f_8fa3_b406f36a951e</f>
        <v>188081</v>
      </c>
      <c r="S38" s="119"/>
    </row>
    <row r="39" spans="1:19" ht="22.15" thickBot="1">
      <c r="E39" s="196"/>
      <c r="F39" s="196"/>
      <c r="G39" s="196"/>
      <c r="H39" s="196"/>
      <c r="I39" s="205"/>
      <c r="J39" s="119"/>
      <c r="K39" s="112" t="s">
        <v>280</v>
      </c>
      <c r="L39" s="112"/>
      <c r="M39" s="112"/>
      <c r="N39" s="23"/>
      <c r="O39" s="23"/>
      <c r="P39" s="23"/>
      <c r="Q39" s="23"/>
      <c r="R39" s="211"/>
      <c r="S39" s="119"/>
    </row>
    <row r="40" spans="1:19" ht="21.75">
      <c r="B40" s="118" t="s">
        <v>281</v>
      </c>
      <c r="C40" s="118"/>
      <c r="D40" s="118"/>
      <c r="E40" s="195">
        <v>236868</v>
      </c>
      <c r="F40" s="195">
        <v>281015</v>
      </c>
      <c r="G40" s="195">
        <v>340159</v>
      </c>
      <c r="H40" s="195">
        <v>316403</v>
      </c>
      <c r="I40" s="204">
        <f>_EPRCS_VU_70ca6b93_2d41_48cd_9b27_f78d6bdb98ed</f>
        <v>315493</v>
      </c>
      <c r="J40" s="119"/>
      <c r="K40" s="118" t="s">
        <v>282</v>
      </c>
      <c r="L40" s="118"/>
      <c r="M40" s="118"/>
      <c r="N40" s="22">
        <v>236868</v>
      </c>
      <c r="O40" s="22">
        <v>281015</v>
      </c>
      <c r="P40" s="22">
        <v>340159</v>
      </c>
      <c r="Q40" s="22">
        <v>316403</v>
      </c>
      <c r="R40" s="202">
        <f>_EPRCS_VU_70ca6b93_2d41_48cd_9b27_f78d6bdb98ed</f>
        <v>315493</v>
      </c>
      <c r="S40" s="119"/>
    </row>
    <row r="41" spans="1:19" ht="22.15" thickBot="1">
      <c r="B41" s="112" t="s">
        <v>283</v>
      </c>
      <c r="C41" s="112"/>
      <c r="D41" s="112"/>
      <c r="E41" s="198"/>
      <c r="F41" s="198"/>
      <c r="G41" s="198"/>
      <c r="H41" s="199"/>
      <c r="I41" s="207"/>
      <c r="J41" s="119"/>
      <c r="K41" s="112" t="s">
        <v>284</v>
      </c>
      <c r="L41" s="112"/>
      <c r="M41" s="112"/>
      <c r="N41" s="122"/>
      <c r="O41" s="23"/>
      <c r="P41" s="23"/>
      <c r="Q41" s="23"/>
      <c r="R41" s="212"/>
      <c r="S41" s="119"/>
    </row>
    <row r="42" spans="1:19" ht="21.75">
      <c r="B42" s="123" t="s">
        <v>285</v>
      </c>
      <c r="E42" s="8"/>
      <c r="F42" s="8"/>
      <c r="G42" s="8"/>
      <c r="H42" s="8"/>
      <c r="I42" s="8"/>
      <c r="J42" s="119"/>
      <c r="N42" s="24"/>
      <c r="O42" s="124"/>
      <c r="P42" s="24"/>
      <c r="Q42" s="24"/>
      <c r="R42" s="24"/>
      <c r="S42" s="119"/>
    </row>
    <row r="43" spans="1:19" ht="21.75">
      <c r="B43" s="123"/>
      <c r="C43" s="123"/>
      <c r="D43" s="123"/>
      <c r="E43" s="123"/>
      <c r="F43" s="123"/>
      <c r="G43" s="123"/>
      <c r="H43" s="123"/>
      <c r="I43" s="123"/>
      <c r="J43" s="119"/>
      <c r="O43" s="4"/>
      <c r="P43" s="8"/>
      <c r="Q43" s="8"/>
      <c r="R43" s="8"/>
      <c r="S43" s="119"/>
    </row>
    <row r="44" spans="1:19" ht="21.75">
      <c r="A44" s="125"/>
      <c r="B44" s="126"/>
      <c r="J44" s="119"/>
      <c r="S44" s="119"/>
    </row>
    <row r="45" spans="1:19" s="123" customFormat="1" ht="21.75">
      <c r="A45" s="125"/>
      <c r="B45" s="4"/>
      <c r="C45" s="4"/>
      <c r="D45" s="4"/>
      <c r="E45" s="5"/>
      <c r="F45" s="5"/>
      <c r="G45" s="5"/>
      <c r="H45" s="4"/>
      <c r="I45" s="4"/>
      <c r="J45" s="119"/>
      <c r="K45" s="4"/>
      <c r="L45" s="4"/>
      <c r="M45" s="4"/>
      <c r="N45" s="5"/>
      <c r="O45" s="5"/>
      <c r="P45" s="4"/>
      <c r="Q45" s="4"/>
      <c r="R45" s="4"/>
      <c r="S45" s="119"/>
    </row>
    <row r="46" spans="1:19" s="123" customFormat="1" ht="21.75">
      <c r="A46" s="4"/>
      <c r="B46" s="4"/>
      <c r="C46" s="4"/>
      <c r="D46" s="4"/>
      <c r="E46" s="5"/>
      <c r="F46" s="5"/>
      <c r="G46" s="5"/>
      <c r="H46" s="4"/>
      <c r="I46" s="4"/>
      <c r="J46" s="4"/>
      <c r="K46" s="4"/>
      <c r="L46" s="4"/>
      <c r="M46" s="4"/>
      <c r="N46" s="5"/>
      <c r="O46" s="5"/>
      <c r="P46" s="4"/>
      <c r="Q46" s="4"/>
      <c r="R46" s="4"/>
    </row>
    <row r="47" spans="1:19" s="123" customFormat="1" ht="19.5" customHeight="1">
      <c r="A47" s="4"/>
      <c r="B47" s="4"/>
      <c r="C47" s="4"/>
      <c r="D47" s="4"/>
      <c r="E47" s="5"/>
      <c r="F47" s="5"/>
      <c r="G47" s="5"/>
      <c r="H47" s="4"/>
      <c r="I47" s="4"/>
      <c r="J47" s="4"/>
      <c r="K47" s="4"/>
      <c r="L47" s="4"/>
      <c r="M47" s="4"/>
      <c r="N47" s="5"/>
      <c r="O47" s="5"/>
      <c r="P47" s="4"/>
      <c r="Q47" s="4"/>
      <c r="R47" s="4"/>
      <c r="S47" s="4"/>
    </row>
    <row r="48" spans="1:19" ht="14.1" customHeight="1">
      <c r="J48" s="14"/>
      <c r="S48" s="109"/>
    </row>
    <row r="49" spans="10:10" ht="16.5" customHeight="1">
      <c r="J49" s="109"/>
    </row>
  </sheetData>
  <mergeCells count="3">
    <mergeCell ref="B4:D4"/>
    <mergeCell ref="K4:M4"/>
    <mergeCell ref="C18:D18"/>
  </mergeCells>
  <phoneticPr fontId="2"/>
  <printOptions horizontalCentered="1" verticalCentered="1"/>
  <pageMargins left="0.43307086614173201" right="0.196850393700787" top="0.27559055118110198" bottom="0.31496062992126" header="0.511811023622047" footer="0.15748031496063"/>
  <pageSetup paperSize="9" scale="57" orientation="landscape" r:id="rId1"/>
  <headerFooter alignWithMargins="0"/>
  <ignoredErrors>
    <ignoredError sqref="I5:I9 I24:I29 R5:R18 I31:I41 R33:R39 R20 R22:R3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Metadata/LabelInfo.xml><?xml version="1.0" encoding="utf-8"?>
<clbl:labelList xmlns:clbl="http://schemas.microsoft.com/office/2020/mipLabelMetadata">
  <clbl:label id="{3c76ce46-357f-46de-88d6-77b9bbb83c46}" enabled="1" method="Privileged" siteId="{4e2c6054-71cb-48f1-bd6c-3a9705aca71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Cover</vt:lpstr>
      <vt:lpstr>Segmental info &amp; Opex</vt:lpstr>
      <vt:lpstr>Corporate_Overview</vt:lpstr>
      <vt:lpstr>Segmental info &amp; Opex (original</vt:lpstr>
      <vt:lpstr>1.Rev YoY</vt:lpstr>
      <vt:lpstr>2.Ope YoY</vt:lpstr>
      <vt:lpstr>3.Summary</vt:lpstr>
      <vt:lpstr>5.BS</vt:lpstr>
      <vt:lpstr>'1.Rev YoY'!Print_Area</vt:lpstr>
      <vt:lpstr>'2.Ope YoY'!Print_Area</vt:lpstr>
      <vt:lpstr>'3.Summary'!Print_Area</vt:lpstr>
      <vt:lpstr>Corporate_Overview!Print_Area</vt:lpstr>
      <vt:lpstr>Cover!Print_Area</vt:lpstr>
      <vt:lpstr>'Segmental info &amp; Opex'!Print_Area</vt:lpstr>
      <vt:lpstr>'Segmental info &amp; Opex (original'!Print_Area</vt:lpstr>
    </vt:vector>
  </TitlesOfParts>
  <Manager>Oracle Corporation</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fy26q3-supplemental</dc:title>
  <dc:subject>2026年5月期(FY26)第3四半期　業績補足資料</dc:subject>
  <dc:creator>Oracle Corporation</dc:creator>
  <cp:keywords>3rd Quarter, Fiscal Year ending May 2026 (FY26) Business Results, Supplemental Information and Historical Facts, 2026/3/24,日本オラクル株式会社,Oracle Corporation Japan (TSE 4716)</cp:keywords>
  <dc:description/>
  <cp:lastModifiedBy>Miyuki Moriyama</cp:lastModifiedBy>
  <cp:revision/>
  <dcterms:created xsi:type="dcterms:W3CDTF">2009-12-21T07:58:45Z</dcterms:created>
  <dcterms:modified xsi:type="dcterms:W3CDTF">2026-03-23T14:07:43Z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c76ce46-357f-46de-88d6-77b9bbb83c46_Enabled">
    <vt:lpwstr>true</vt:lpwstr>
  </property>
  <property fmtid="{D5CDD505-2E9C-101B-9397-08002B2CF9AE}" pid="5" name="MSIP_Label_3c76ce46-357f-46de-88d6-77b9bbb83c46_SetDate">
    <vt:lpwstr>2025-09-22T15:51:46Z</vt:lpwstr>
  </property>
  <property fmtid="{D5CDD505-2E9C-101B-9397-08002B2CF9AE}" pid="6" name="MSIP_Label_3c76ce46-357f-46de-88d6-77b9bbb83c46_Method">
    <vt:lpwstr>Privileged</vt:lpwstr>
  </property>
  <property fmtid="{D5CDD505-2E9C-101B-9397-08002B2CF9AE}" pid="7" name="MSIP_Label_3c76ce46-357f-46de-88d6-77b9bbb83c46_Name">
    <vt:lpwstr>Public</vt:lpwstr>
  </property>
  <property fmtid="{D5CDD505-2E9C-101B-9397-08002B2CF9AE}" pid="8" name="MSIP_Label_3c76ce46-357f-46de-88d6-77b9bbb83c46_SiteId">
    <vt:lpwstr>4e2c6054-71cb-48f1-bd6c-3a9705aca71b</vt:lpwstr>
  </property>
  <property fmtid="{D5CDD505-2E9C-101B-9397-08002B2CF9AE}" pid="9" name="MSIP_Label_3c76ce46-357f-46de-88d6-77b9bbb83c46_ActionId">
    <vt:lpwstr>a3c58b18-4eea-4650-a35d-72bb0f057c17</vt:lpwstr>
  </property>
  <property fmtid="{D5CDD505-2E9C-101B-9397-08002B2CF9AE}" pid="10" name="MSIP_Label_3c76ce46-357f-46de-88d6-77b9bbb83c46_ContentBits">
    <vt:lpwstr>0</vt:lpwstr>
  </property>
</Properties>
</file>